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960" activeTab="0"/>
  </bookViews>
  <sheets>
    <sheet name="List1" sheetId="1" r:id="rId1"/>
  </sheets>
  <definedNames>
    <definedName name="_xlnm.Print_Area" localSheetId="0">'List1'!$A$1:$AI$34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<sst xmlns="http://schemas.openxmlformats.org/spreadsheetml/2006/main" count="27" uniqueCount="27">
  <si>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Publicita a propagace</t>
  </si>
  <si>
    <t xml:space="preserve">VŘ na zhotovitele </t>
  </si>
  <si>
    <t xml:space="preserve">Autorský dozor </t>
  </si>
  <si>
    <t>Dok. pro provedení stavby</t>
  </si>
  <si>
    <t>Monitorovací zprávy</t>
  </si>
  <si>
    <t>Měsíční součty</t>
  </si>
  <si>
    <t>PD pro výběr zhotovitele</t>
  </si>
  <si>
    <t>Služby - Inženýring stavby</t>
  </si>
  <si>
    <t>Překladatel</t>
  </si>
  <si>
    <t>Právník</t>
  </si>
  <si>
    <t>Stavební náklady a zařízení</t>
  </si>
  <si>
    <t>Služby - Realizace projektu</t>
  </si>
  <si>
    <t>Služby - Příprava projektu</t>
  </si>
  <si>
    <t>Finanční tok : Modernizace a vybavení ZUŠ Bystré</t>
  </si>
  <si>
    <t>vlastní po 
odečtení dotace</t>
  </si>
  <si>
    <t>převod dotace
po monitoringu</t>
  </si>
  <si>
    <t>hrazeno průběžně
z účtu města</t>
  </si>
  <si>
    <t>1.NP+2.NP  (st.práce+vybavení+DPH)</t>
  </si>
  <si>
    <t>1.NP (st.práce+vybavení+DPH)</t>
  </si>
  <si>
    <t>1.PP 
(st.práce+vybavení+ DPH)</t>
  </si>
  <si>
    <t>3.NP  
(st.práce+vybavení+ DPH)</t>
  </si>
  <si>
    <t>2.NP (st.práce+vybavení+DPH)</t>
  </si>
  <si>
    <t>TDI - APOLO CZ</t>
  </si>
  <si>
    <t>srpen 2009</t>
  </si>
  <si>
    <t>činnosti související (vyplynuly z VŘ)</t>
  </si>
  <si>
    <t>základ pro výpočet dotace</t>
  </si>
  <si>
    <t>Částky jsou uvedeny v Kč.
Ceny vyplynuly z VŘ a jsou v čase a místě obvyklé.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</si>
</sst>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.00\ &quot;Kč&quot;"/>
    <numFmt numFmtId="167" formatCode="0.0"/>
    <numFmt numFmtId="168" formatCode="[$-405]mmmm\ yy;@"/>
    <numFmt numFmtId="169" formatCode="#,##0_ ;\-#,##0\ "/>
    <numFmt numFmtId="170" formatCode="_-* #,##0.000\ &quot;Kč&quot;_-;\-* #,##0.000\ &quot;Kč&quot;_-;_-* &quot;-&quot;??\ &quot;Kč&quot;_-;_-@_-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#,##0.00\ [$€-407];\-#,##0.00\ [$€-407]"/>
    <numFmt numFmtId="174" formatCode="#,##0.0\ [$€-407];\-#,##0.0\ [$€-407]"/>
    <numFmt numFmtId="175" formatCode="#,##0\ [$€-407];\-#,##0\ [$€-407]"/>
    <numFmt numFmtId="176" formatCode="0.0%"/>
    <numFmt numFmtId="177" formatCode="#,##0.00_ ;\-#,##0.00\ "/>
  </numFmts>
  <fonts count="48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mbria"/>
      <family val="1"/>
    </font>
    <font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E949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68" fontId="3" fillId="0" borderId="10" xfId="0" applyNumberFormat="1" applyFont="1" applyBorder="1" applyAlignment="1">
      <alignment horizontal="center" vertical="center" textRotation="90"/>
    </xf>
    <xf numFmtId="168" fontId="3" fillId="0" borderId="10" xfId="0" applyNumberFormat="1" applyFont="1" applyBorder="1" applyAlignment="1">
      <alignment vertical="center" textRotation="90"/>
    </xf>
    <xf numFmtId="0" fontId="0" fillId="0" borderId="10" xfId="0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0" fillId="0" borderId="10" xfId="0" applyNumberFormat="1" applyFill="1" applyBorder="1" applyAlignment="1">
      <alignment horizontal="center" vertical="top" textRotation="90"/>
    </xf>
    <xf numFmtId="0" fontId="0" fillId="0" borderId="0" xfId="0" applyFill="1" applyAlignment="1">
      <alignment vertical="center"/>
    </xf>
    <xf numFmtId="168" fontId="3" fillId="33" borderId="11" xfId="0" applyNumberFormat="1" applyFont="1" applyFill="1" applyBorder="1" applyAlignment="1">
      <alignment horizontal="center" vertical="center" textRotation="90"/>
    </xf>
    <xf numFmtId="3" fontId="2" fillId="0" borderId="10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horizontal="center" vertical="top" textRotation="90"/>
    </xf>
    <xf numFmtId="3" fontId="3" fillId="0" borderId="10" xfId="0" applyNumberFormat="1" applyFont="1" applyBorder="1" applyAlignment="1">
      <alignment vertical="top" textRotation="90"/>
    </xf>
    <xf numFmtId="3" fontId="0" fillId="0" borderId="10" xfId="0" applyNumberFormat="1" applyBorder="1" applyAlignment="1">
      <alignment vertical="top"/>
    </xf>
    <xf numFmtId="3" fontId="3" fillId="0" borderId="10" xfId="0" applyNumberFormat="1" applyFont="1" applyFill="1" applyBorder="1" applyAlignment="1">
      <alignment horizontal="center" vertical="top" textRotation="90"/>
    </xf>
    <xf numFmtId="3" fontId="3" fillId="0" borderId="10" xfId="0" applyNumberFormat="1" applyFont="1" applyFill="1" applyBorder="1" applyAlignment="1">
      <alignment vertical="top" textRotation="90"/>
    </xf>
    <xf numFmtId="3" fontId="0" fillId="0" borderId="0" xfId="0" applyNumberFormat="1" applyAlignment="1">
      <alignment vertical="top"/>
    </xf>
    <xf numFmtId="3" fontId="3" fillId="0" borderId="0" xfId="0" applyNumberFormat="1" applyFont="1" applyAlignment="1">
      <alignment vertical="top"/>
    </xf>
    <xf numFmtId="3" fontId="3" fillId="34" borderId="10" xfId="0" applyNumberFormat="1" applyFont="1" applyFill="1" applyBorder="1" applyAlignment="1">
      <alignment vertical="top" textRotation="90"/>
    </xf>
    <xf numFmtId="168" fontId="3" fillId="0" borderId="12" xfId="0" applyNumberFormat="1" applyFont="1" applyBorder="1" applyAlignment="1">
      <alignment vertical="center" textRotation="90"/>
    </xf>
    <xf numFmtId="3" fontId="3" fillId="0" borderId="12" xfId="0" applyNumberFormat="1" applyFont="1" applyBorder="1" applyAlignment="1">
      <alignment vertical="top" textRotation="90"/>
    </xf>
    <xf numFmtId="3" fontId="3" fillId="34" borderId="12" xfId="0" applyNumberFormat="1" applyFont="1" applyFill="1" applyBorder="1" applyAlignment="1">
      <alignment vertical="top" textRotation="90"/>
    </xf>
    <xf numFmtId="3" fontId="0" fillId="0" borderId="12" xfId="0" applyNumberFormat="1" applyBorder="1" applyAlignment="1">
      <alignment vertical="top"/>
    </xf>
    <xf numFmtId="168" fontId="3" fillId="33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3" fontId="0" fillId="7" borderId="10" xfId="0" applyNumberFormat="1" applyFill="1" applyBorder="1" applyAlignment="1">
      <alignment vertical="center"/>
    </xf>
    <xf numFmtId="3" fontId="0" fillId="6" borderId="10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top" textRotation="90"/>
    </xf>
    <xf numFmtId="3" fontId="3" fillId="2" borderId="12" xfId="0" applyNumberFormat="1" applyFont="1" applyFill="1" applyBorder="1" applyAlignment="1">
      <alignment vertical="top" textRotation="90"/>
    </xf>
    <xf numFmtId="3" fontId="0" fillId="3" borderId="10" xfId="0" applyNumberFormat="1" applyFill="1" applyBorder="1" applyAlignment="1">
      <alignment vertical="center"/>
    </xf>
    <xf numFmtId="3" fontId="3" fillId="3" borderId="10" xfId="0" applyNumberFormat="1" applyFont="1" applyFill="1" applyBorder="1" applyAlignment="1">
      <alignment horizontal="center" vertical="top" textRotation="90"/>
    </xf>
    <xf numFmtId="3" fontId="3" fillId="3" borderId="12" xfId="0" applyNumberFormat="1" applyFont="1" applyFill="1" applyBorder="1" applyAlignment="1">
      <alignment vertical="top" textRotation="90"/>
    </xf>
    <xf numFmtId="3" fontId="0" fillId="4" borderId="10" xfId="0" applyNumberForma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top" textRotation="90"/>
    </xf>
    <xf numFmtId="3" fontId="3" fillId="4" borderId="12" xfId="0" applyNumberFormat="1" applyFont="1" applyFill="1" applyBorder="1" applyAlignment="1">
      <alignment vertical="top" textRotation="90"/>
    </xf>
    <xf numFmtId="3" fontId="3" fillId="6" borderId="12" xfId="0" applyNumberFormat="1" applyFont="1" applyFill="1" applyBorder="1" applyAlignment="1">
      <alignment vertical="top" textRotation="90"/>
    </xf>
    <xf numFmtId="3" fontId="3" fillId="7" borderId="10" xfId="0" applyNumberFormat="1" applyFont="1" applyFill="1" applyBorder="1" applyAlignment="1">
      <alignment vertical="top" textRotation="90"/>
    </xf>
    <xf numFmtId="3" fontId="3" fillId="7" borderId="12" xfId="0" applyNumberFormat="1" applyFont="1" applyFill="1" applyBorder="1" applyAlignment="1">
      <alignment vertical="top" textRotation="90"/>
    </xf>
    <xf numFmtId="3" fontId="0" fillId="35" borderId="10" xfId="0" applyNumberForma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top" textRotation="90"/>
    </xf>
    <xf numFmtId="3" fontId="3" fillId="35" borderId="12" xfId="0" applyNumberFormat="1" applyFont="1" applyFill="1" applyBorder="1" applyAlignment="1">
      <alignment vertical="top" textRotation="90"/>
    </xf>
    <xf numFmtId="3" fontId="0" fillId="36" borderId="10" xfId="0" applyNumberFormat="1" applyFill="1" applyBorder="1" applyAlignment="1">
      <alignment vertical="center"/>
    </xf>
    <xf numFmtId="3" fontId="3" fillId="36" borderId="10" xfId="0" applyNumberFormat="1" applyFont="1" applyFill="1" applyBorder="1" applyAlignment="1">
      <alignment vertical="top" textRotation="90"/>
    </xf>
    <xf numFmtId="3" fontId="3" fillId="36" borderId="12" xfId="0" applyNumberFormat="1" applyFont="1" applyFill="1" applyBorder="1" applyAlignment="1">
      <alignment vertical="top" textRotation="90"/>
    </xf>
    <xf numFmtId="3" fontId="0" fillId="23" borderId="10" xfId="0" applyNumberFormat="1" applyFill="1" applyBorder="1" applyAlignment="1">
      <alignment vertical="center"/>
    </xf>
    <xf numFmtId="3" fontId="3" fillId="23" borderId="10" xfId="0" applyNumberFormat="1" applyFont="1" applyFill="1" applyBorder="1" applyAlignment="1">
      <alignment vertical="top" textRotation="90"/>
    </xf>
    <xf numFmtId="3" fontId="3" fillId="23" borderId="12" xfId="0" applyNumberFormat="1" applyFont="1" applyFill="1" applyBorder="1" applyAlignment="1">
      <alignment vertical="top" textRotation="90"/>
    </xf>
    <xf numFmtId="3" fontId="0" fillId="37" borderId="10" xfId="0" applyNumberForma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top" textRotation="90"/>
    </xf>
    <xf numFmtId="3" fontId="3" fillId="37" borderId="12" xfId="0" applyNumberFormat="1" applyFont="1" applyFill="1" applyBorder="1" applyAlignment="1">
      <alignment vertical="top" textRotation="90"/>
    </xf>
    <xf numFmtId="3" fontId="3" fillId="7" borderId="10" xfId="0" applyNumberFormat="1" applyFont="1" applyFill="1" applyBorder="1" applyAlignment="1">
      <alignment horizontal="center" vertical="top" textRotation="90"/>
    </xf>
    <xf numFmtId="3" fontId="3" fillId="6" borderId="10" xfId="0" applyNumberFormat="1" applyFont="1" applyFill="1" applyBorder="1" applyAlignment="1">
      <alignment horizontal="center" vertical="top" textRotation="90"/>
    </xf>
    <xf numFmtId="3" fontId="5" fillId="6" borderId="10" xfId="0" applyNumberFormat="1" applyFont="1" applyFill="1" applyBorder="1" applyAlignment="1">
      <alignment horizontal="center" vertical="top" textRotation="90"/>
    </xf>
    <xf numFmtId="3" fontId="3" fillId="2" borderId="10" xfId="0" applyNumberFormat="1" applyFont="1" applyFill="1" applyBorder="1" applyAlignment="1">
      <alignment vertical="top" textRotation="90"/>
    </xf>
    <xf numFmtId="3" fontId="3" fillId="3" borderId="10" xfId="0" applyNumberFormat="1" applyFont="1" applyFill="1" applyBorder="1" applyAlignment="1">
      <alignment vertical="top" textRotation="90"/>
    </xf>
    <xf numFmtId="44" fontId="0" fillId="0" borderId="10" xfId="38" applyFont="1" applyBorder="1" applyAlignment="1">
      <alignment horizontal="center" vertical="center" textRotation="90"/>
    </xf>
    <xf numFmtId="44" fontId="3" fillId="33" borderId="0" xfId="38" applyFont="1" applyFill="1" applyBorder="1" applyAlignment="1">
      <alignment horizontal="center" vertical="center" textRotation="90"/>
    </xf>
    <xf numFmtId="44" fontId="3" fillId="33" borderId="0" xfId="38" applyFont="1" applyFill="1" applyBorder="1" applyAlignment="1">
      <alignment horizontal="right" vertical="center" textRotation="90"/>
    </xf>
    <xf numFmtId="44" fontId="3" fillId="33" borderId="13" xfId="38" applyFont="1" applyFill="1" applyBorder="1" applyAlignment="1">
      <alignment horizontal="right" vertical="center" textRotation="90"/>
    </xf>
    <xf numFmtId="3" fontId="0" fillId="38" borderId="10" xfId="0" applyNumberFormat="1" applyFill="1" applyBorder="1" applyAlignment="1">
      <alignment vertical="center"/>
    </xf>
    <xf numFmtId="3" fontId="3" fillId="38" borderId="10" xfId="0" applyNumberFormat="1" applyFont="1" applyFill="1" applyBorder="1" applyAlignment="1">
      <alignment horizontal="center" vertical="top" textRotation="90"/>
    </xf>
    <xf numFmtId="3" fontId="3" fillId="38" borderId="12" xfId="0" applyNumberFormat="1" applyFont="1" applyFill="1" applyBorder="1" applyAlignment="1">
      <alignment vertical="top" textRotation="90"/>
    </xf>
    <xf numFmtId="3" fontId="3" fillId="35" borderId="10" xfId="0" applyNumberFormat="1" applyFont="1" applyFill="1" applyBorder="1" applyAlignment="1">
      <alignment horizontal="center" vertical="top" textRotation="90"/>
    </xf>
    <xf numFmtId="3" fontId="3" fillId="36" borderId="10" xfId="0" applyNumberFormat="1" applyFont="1" applyFill="1" applyBorder="1" applyAlignment="1">
      <alignment horizontal="center" vertical="top" textRotation="90"/>
    </xf>
    <xf numFmtId="3" fontId="3" fillId="23" borderId="10" xfId="0" applyNumberFormat="1" applyFont="1" applyFill="1" applyBorder="1" applyAlignment="1">
      <alignment horizontal="center" vertical="top" textRotation="90"/>
    </xf>
    <xf numFmtId="3" fontId="3" fillId="37" borderId="10" xfId="0" applyNumberFormat="1" applyFont="1" applyFill="1" applyBorder="1" applyAlignment="1">
      <alignment horizontal="center" vertical="top" textRotation="90"/>
    </xf>
    <xf numFmtId="44" fontId="0" fillId="0" borderId="0" xfId="38" applyFont="1" applyBorder="1" applyAlignment="1">
      <alignment horizontal="right" vertical="center" textRotation="90"/>
    </xf>
    <xf numFmtId="173" fontId="6" fillId="0" borderId="14" xfId="38" applyNumberFormat="1" applyFont="1" applyBorder="1" applyAlignment="1">
      <alignment vertical="top"/>
    </xf>
    <xf numFmtId="173" fontId="0" fillId="0" borderId="14" xfId="38" applyNumberFormat="1" applyFont="1" applyBorder="1" applyAlignment="1">
      <alignment vertical="top"/>
    </xf>
    <xf numFmtId="173" fontId="3" fillId="33" borderId="14" xfId="38" applyNumberFormat="1" applyFont="1" applyFill="1" applyBorder="1" applyAlignment="1">
      <alignment horizontal="center" vertical="top" textRotation="90"/>
    </xf>
    <xf numFmtId="169" fontId="6" fillId="0" borderId="10" xfId="38" applyNumberFormat="1" applyFont="1" applyBorder="1" applyAlignment="1">
      <alignment horizontal="left" vertical="center" wrapText="1"/>
    </xf>
    <xf numFmtId="169" fontId="6" fillId="10" borderId="10" xfId="38" applyNumberFormat="1" applyFont="1" applyFill="1" applyBorder="1" applyAlignment="1">
      <alignment horizontal="right" vertical="center"/>
    </xf>
    <xf numFmtId="169" fontId="9" fillId="33" borderId="10" xfId="38" applyNumberFormat="1" applyFont="1" applyFill="1" applyBorder="1" applyAlignment="1">
      <alignment horizontal="right" vertical="top" textRotation="90"/>
    </xf>
    <xf numFmtId="169" fontId="3" fillId="33" borderId="10" xfId="38" applyNumberFormat="1" applyFont="1" applyFill="1" applyBorder="1" applyAlignment="1">
      <alignment horizontal="right" vertical="center" textRotation="90"/>
    </xf>
    <xf numFmtId="169" fontId="0" fillId="0" borderId="10" xfId="38" applyNumberFormat="1" applyFont="1" applyBorder="1" applyAlignment="1">
      <alignment horizontal="right" vertical="center"/>
    </xf>
    <xf numFmtId="169" fontId="6" fillId="13" borderId="10" xfId="38" applyNumberFormat="1" applyFont="1" applyFill="1" applyBorder="1" applyAlignment="1">
      <alignment horizontal="right" vertical="center"/>
    </xf>
    <xf numFmtId="169" fontId="6" fillId="0" borderId="10" xfId="38" applyNumberFormat="1" applyFont="1" applyBorder="1" applyAlignment="1">
      <alignment vertical="center" wrapText="1"/>
    </xf>
    <xf numFmtId="169" fontId="6" fillId="0" borderId="12" xfId="38" applyNumberFormat="1" applyFont="1" applyBorder="1" applyAlignment="1">
      <alignment vertical="center"/>
    </xf>
    <xf numFmtId="169" fontId="7" fillId="0" borderId="15" xfId="38" applyNumberFormat="1" applyFont="1" applyBorder="1" applyAlignment="1">
      <alignment horizontal="center" vertical="center"/>
    </xf>
    <xf numFmtId="169" fontId="3" fillId="33" borderId="13" xfId="38" applyNumberFormat="1" applyFont="1" applyFill="1" applyBorder="1" applyAlignment="1">
      <alignment horizontal="right" vertical="center" textRotation="90"/>
    </xf>
    <xf numFmtId="169" fontId="6" fillId="11" borderId="12" xfId="38" applyNumberFormat="1" applyFont="1" applyFill="1" applyBorder="1" applyAlignment="1">
      <alignment vertical="center"/>
    </xf>
    <xf numFmtId="49" fontId="4" fillId="13" borderId="10" xfId="0" applyNumberFormat="1" applyFont="1" applyFill="1" applyBorder="1" applyAlignment="1">
      <alignment horizontal="center" vertical="center"/>
    </xf>
    <xf numFmtId="177" fontId="8" fillId="0" borderId="14" xfId="38" applyNumberFormat="1" applyFont="1" applyBorder="1" applyAlignment="1">
      <alignment horizontal="center" vertical="top" textRotation="90"/>
    </xf>
    <xf numFmtId="177" fontId="9" fillId="33" borderId="0" xfId="38" applyNumberFormat="1" applyFont="1" applyFill="1" applyBorder="1" applyAlignment="1">
      <alignment horizontal="center" vertical="top" textRotation="90"/>
    </xf>
    <xf numFmtId="177" fontId="8" fillId="0" borderId="16" xfId="38" applyNumberFormat="1" applyFont="1" applyBorder="1" applyAlignment="1">
      <alignment horizontal="center" vertical="top" textRotation="90"/>
    </xf>
    <xf numFmtId="169" fontId="46" fillId="33" borderId="13" xfId="38" applyNumberFormat="1" applyFont="1" applyFill="1" applyBorder="1" applyAlignment="1">
      <alignment horizontal="right" vertical="top" textRotation="90"/>
    </xf>
    <xf numFmtId="169" fontId="46" fillId="33" borderId="10" xfId="38" applyNumberFormat="1" applyFont="1" applyFill="1" applyBorder="1" applyAlignment="1">
      <alignment horizontal="right" vertical="top" textRotation="90"/>
    </xf>
    <xf numFmtId="169" fontId="47" fillId="0" borderId="10" xfId="38" applyNumberFormat="1" applyFont="1" applyBorder="1" applyAlignment="1">
      <alignment horizontal="right" vertical="top" textRotation="90"/>
    </xf>
    <xf numFmtId="169" fontId="10" fillId="0" borderId="10" xfId="38" applyNumberFormat="1" applyFont="1" applyBorder="1" applyAlignment="1">
      <alignment horizontal="right" vertical="center"/>
    </xf>
    <xf numFmtId="169" fontId="8" fillId="0" borderId="12" xfId="38" applyNumberFormat="1" applyFont="1" applyBorder="1" applyAlignment="1">
      <alignment horizontal="right" vertical="top" textRotation="90"/>
    </xf>
    <xf numFmtId="169" fontId="8" fillId="0" borderId="15" xfId="38" applyNumberFormat="1" applyFont="1" applyBorder="1" applyAlignment="1">
      <alignment horizontal="right" vertical="top" textRotation="90"/>
    </xf>
    <xf numFmtId="169" fontId="8" fillId="0" borderId="17" xfId="38" applyNumberFormat="1" applyFont="1" applyBorder="1" applyAlignment="1">
      <alignment horizontal="right" vertical="top" textRotation="90"/>
    </xf>
    <xf numFmtId="169" fontId="8" fillId="0" borderId="10" xfId="38" applyNumberFormat="1" applyFont="1" applyBorder="1" applyAlignment="1">
      <alignment horizontal="right" vertical="top" textRotation="90"/>
    </xf>
    <xf numFmtId="44" fontId="0" fillId="0" borderId="10" xfId="38" applyFont="1" applyBorder="1" applyAlignment="1">
      <alignment horizontal="right" vertical="center" textRotation="90"/>
    </xf>
    <xf numFmtId="169" fontId="47" fillId="0" borderId="10" xfId="38" applyNumberFormat="1" applyFont="1" applyBorder="1" applyAlignment="1">
      <alignment horizontal="right" vertical="top" textRotation="90"/>
    </xf>
    <xf numFmtId="169" fontId="6" fillId="0" borderId="18" xfId="38" applyNumberFormat="1" applyFont="1" applyBorder="1" applyAlignment="1">
      <alignment vertical="top"/>
    </xf>
    <xf numFmtId="169" fontId="6" fillId="0" borderId="0" xfId="38" applyNumberFormat="1" applyFont="1" applyBorder="1" applyAlignment="1">
      <alignment vertical="top"/>
    </xf>
    <xf numFmtId="169" fontId="6" fillId="0" borderId="19" xfId="38" applyNumberFormat="1" applyFont="1" applyBorder="1" applyAlignment="1">
      <alignment vertical="top"/>
    </xf>
    <xf numFmtId="10" fontId="7" fillId="13" borderId="15" xfId="47" applyNumberFormat="1" applyFont="1" applyFill="1" applyBorder="1" applyAlignment="1">
      <alignment horizontal="center" vertical="center" textRotation="90"/>
    </xf>
    <xf numFmtId="10" fontId="7" fillId="10" borderId="15" xfId="47" applyNumberFormat="1" applyFont="1" applyFill="1" applyBorder="1" applyAlignment="1">
      <alignment horizontal="center" vertical="center" textRotation="90"/>
    </xf>
    <xf numFmtId="10" fontId="7" fillId="10" borderId="17" xfId="47" applyNumberFormat="1" applyFont="1" applyFill="1" applyBorder="1" applyAlignment="1">
      <alignment horizontal="center" vertical="center" textRotation="90"/>
    </xf>
    <xf numFmtId="10" fontId="7" fillId="11" borderId="15" xfId="47" applyNumberFormat="1" applyFont="1" applyFill="1" applyBorder="1" applyAlignment="1">
      <alignment horizontal="center" vertical="center"/>
    </xf>
    <xf numFmtId="10" fontId="7" fillId="11" borderId="17" xfId="47" applyNumberFormat="1" applyFont="1" applyFill="1" applyBorder="1" applyAlignment="1">
      <alignment horizontal="center" vertical="center"/>
    </xf>
    <xf numFmtId="44" fontId="0" fillId="0" borderId="12" xfId="38" applyFont="1" applyBorder="1" applyAlignment="1">
      <alignment horizontal="right" vertical="center" textRotation="90"/>
    </xf>
    <xf numFmtId="44" fontId="0" fillId="0" borderId="15" xfId="38" applyFont="1" applyBorder="1" applyAlignment="1">
      <alignment horizontal="right" vertical="center" textRotation="90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"/>
  <sheetViews>
    <sheetView tabSelected="1" view="pageBreakPreview" zoomScaleSheetLayoutView="10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20" sqref="AA20"/>
    </sheetView>
  </sheetViews>
  <sheetFormatPr defaultColWidth="9.140625" defaultRowHeight="15"/>
  <cols>
    <col min="1" max="1" width="24.421875" style="1" bestFit="1" customWidth="1"/>
    <col min="2" max="2" width="23.28125" style="4" bestFit="1" customWidth="1"/>
    <col min="3" max="7" width="3.28125" style="4" customWidth="1"/>
    <col min="8" max="8" width="0.71875" style="8" customWidth="1"/>
    <col min="9" max="9" width="3.28125" style="4" customWidth="1"/>
    <col min="10" max="20" width="3.28125" style="1" customWidth="1"/>
    <col min="21" max="21" width="0.71875" style="10" customWidth="1"/>
    <col min="22" max="33" width="3.28125" style="1" customWidth="1"/>
    <col min="34" max="34" width="0.71875" style="1" customWidth="1"/>
    <col min="35" max="35" width="3.8515625" style="1" bestFit="1" customWidth="1"/>
    <col min="36" max="36" width="9.140625" style="1" customWidth="1"/>
    <col min="37" max="42" width="3.28125" style="1" customWidth="1"/>
    <col min="43" max="43" width="0.71875" style="10" customWidth="1"/>
    <col min="44" max="54" width="3.28125" style="1" customWidth="1"/>
    <col min="55" max="16384" width="9.140625" style="1" customWidth="1"/>
  </cols>
  <sheetData>
    <row r="1" spans="1:43" ht="50.25" customHeight="1">
      <c r="A1" s="84" t="s">
        <v>23</v>
      </c>
      <c r="B1" s="110" t="s">
        <v>13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">
        <v>1</v>
      </c>
      <c r="AQ1" s="1"/>
    </row>
    <row r="2" spans="1:54" ht="63.75" customHeight="1">
      <c r="A2" s="111" t="s">
        <v>26</v>
      </c>
      <c r="B2" s="112"/>
      <c r="C2" s="5">
        <v>39661</v>
      </c>
      <c r="D2" s="5">
        <v>39692</v>
      </c>
      <c r="E2" s="5">
        <v>39722</v>
      </c>
      <c r="F2" s="5">
        <v>39753</v>
      </c>
      <c r="G2" s="5">
        <v>39783</v>
      </c>
      <c r="H2" s="11"/>
      <c r="I2" s="5">
        <v>39814</v>
      </c>
      <c r="J2" s="5">
        <v>39845</v>
      </c>
      <c r="K2" s="5">
        <v>39873</v>
      </c>
      <c r="L2" s="5">
        <v>39904</v>
      </c>
      <c r="M2" s="5">
        <v>39934</v>
      </c>
      <c r="N2" s="5">
        <v>39965</v>
      </c>
      <c r="O2" s="6">
        <v>39995</v>
      </c>
      <c r="P2" s="6">
        <v>40026</v>
      </c>
      <c r="Q2" s="6">
        <v>40057</v>
      </c>
      <c r="R2" s="6">
        <v>40087</v>
      </c>
      <c r="S2" s="6">
        <v>40118</v>
      </c>
      <c r="T2" s="6">
        <v>40148</v>
      </c>
      <c r="U2" s="11"/>
      <c r="V2" s="6">
        <v>40179</v>
      </c>
      <c r="W2" s="6">
        <v>40210</v>
      </c>
      <c r="X2" s="6">
        <v>40238</v>
      </c>
      <c r="Y2" s="6">
        <v>40269</v>
      </c>
      <c r="Z2" s="6">
        <v>40299</v>
      </c>
      <c r="AA2" s="6">
        <v>40330</v>
      </c>
      <c r="AB2" s="6">
        <v>40360</v>
      </c>
      <c r="AC2" s="6">
        <v>40391</v>
      </c>
      <c r="AD2" s="6">
        <v>40422</v>
      </c>
      <c r="AE2" s="6">
        <v>40452</v>
      </c>
      <c r="AF2" s="6">
        <v>40483</v>
      </c>
      <c r="AG2" s="21">
        <v>40513</v>
      </c>
      <c r="AH2" s="25"/>
      <c r="AI2" s="6">
        <v>40544</v>
      </c>
      <c r="AK2" s="6">
        <v>39995</v>
      </c>
      <c r="AL2" s="6">
        <v>40026</v>
      </c>
      <c r="AM2" s="6">
        <v>40057</v>
      </c>
      <c r="AN2" s="6">
        <v>40087</v>
      </c>
      <c r="AO2" s="6">
        <v>40118</v>
      </c>
      <c r="AP2" s="6">
        <v>40148</v>
      </c>
      <c r="AQ2" s="11"/>
      <c r="AR2" s="6">
        <v>40179</v>
      </c>
      <c r="AS2" s="6">
        <v>40210</v>
      </c>
      <c r="AT2" s="6">
        <v>40238</v>
      </c>
      <c r="AU2" s="6">
        <v>40269</v>
      </c>
      <c r="AV2" s="6">
        <v>40299</v>
      </c>
      <c r="AW2" s="6">
        <v>40330</v>
      </c>
      <c r="AX2" s="6">
        <v>40360</v>
      </c>
      <c r="AY2" s="6">
        <v>40391</v>
      </c>
      <c r="AZ2" s="6">
        <v>40422</v>
      </c>
      <c r="BA2" s="6">
        <v>40452</v>
      </c>
      <c r="BB2" s="6">
        <v>40483</v>
      </c>
    </row>
    <row r="3" spans="1:54" ht="18.75">
      <c r="A3" s="108" t="s">
        <v>12</v>
      </c>
      <c r="B3" s="109"/>
      <c r="C3" s="12"/>
      <c r="D3" s="12"/>
      <c r="E3" s="12"/>
      <c r="F3" s="12"/>
      <c r="G3" s="12"/>
      <c r="H3" s="13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2"/>
      <c r="AH3" s="25"/>
      <c r="AI3" s="2"/>
      <c r="AK3" s="14"/>
      <c r="AL3" s="14"/>
      <c r="AM3" s="14"/>
      <c r="AN3" s="14"/>
      <c r="AO3" s="14"/>
      <c r="AP3" s="14"/>
      <c r="AQ3" s="13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33.75">
      <c r="A4" s="2" t="s">
        <v>6</v>
      </c>
      <c r="B4" s="29">
        <v>60000</v>
      </c>
      <c r="C4" s="15"/>
      <c r="D4" s="15"/>
      <c r="E4" s="16"/>
      <c r="F4" s="16"/>
      <c r="G4" s="16"/>
      <c r="H4" s="13"/>
      <c r="I4" s="16"/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f>AK4/$AJ$1</f>
        <v>48000</v>
      </c>
      <c r="P4" s="30">
        <f>AL4/$AJ$1</f>
        <v>6000</v>
      </c>
      <c r="Q4" s="14"/>
      <c r="R4" s="14"/>
      <c r="S4" s="14"/>
      <c r="T4" s="14"/>
      <c r="U4" s="13"/>
      <c r="V4" s="14"/>
      <c r="W4" s="14"/>
      <c r="X4" s="14"/>
      <c r="Y4" s="14"/>
      <c r="Z4" s="14"/>
      <c r="AA4" s="14"/>
      <c r="AB4" s="14"/>
      <c r="AC4" s="14"/>
      <c r="AD4" s="30">
        <f>AZ4/$AJ$1</f>
        <v>6000</v>
      </c>
      <c r="AE4" s="14"/>
      <c r="AF4" s="14"/>
      <c r="AG4" s="31">
        <f>B4-SUM(C4:G4,I4:T4,V4:AF4)</f>
        <v>0</v>
      </c>
      <c r="AH4" s="25"/>
      <c r="AI4" s="2"/>
      <c r="AK4" s="30">
        <v>48000</v>
      </c>
      <c r="AL4" s="56">
        <v>6000</v>
      </c>
      <c r="AM4" s="14"/>
      <c r="AN4" s="14"/>
      <c r="AO4" s="14"/>
      <c r="AP4" s="14"/>
      <c r="AQ4" s="13"/>
      <c r="AR4" s="14"/>
      <c r="AS4" s="14"/>
      <c r="AT4" s="14"/>
      <c r="AU4" s="14"/>
      <c r="AV4" s="14"/>
      <c r="AW4" s="14"/>
      <c r="AX4" s="14"/>
      <c r="AY4" s="14"/>
      <c r="AZ4" s="56">
        <v>6000</v>
      </c>
      <c r="BA4" s="14"/>
      <c r="BB4" s="14"/>
    </row>
    <row r="5" spans="1:54" ht="33.75">
      <c r="A5" s="2" t="s">
        <v>1</v>
      </c>
      <c r="B5" s="32">
        <v>53000</v>
      </c>
      <c r="C5" s="15"/>
      <c r="D5" s="15"/>
      <c r="E5" s="16"/>
      <c r="F5" s="16"/>
      <c r="G5" s="16"/>
      <c r="H5" s="13"/>
      <c r="I5" s="16"/>
      <c r="J5" s="16"/>
      <c r="K5" s="16"/>
      <c r="L5" s="33">
        <v>0</v>
      </c>
      <c r="M5" s="33">
        <v>0</v>
      </c>
      <c r="N5" s="33">
        <v>0</v>
      </c>
      <c r="O5" s="33">
        <f>AK5/$AJ$1</f>
        <v>19000</v>
      </c>
      <c r="P5" s="33">
        <f>AL5/$AJ$1</f>
        <v>0</v>
      </c>
      <c r="Q5" s="33">
        <f>AM5/$AJ$1</f>
        <v>0</v>
      </c>
      <c r="R5" s="33">
        <f>AN5/$AJ$1</f>
        <v>25000</v>
      </c>
      <c r="S5" s="14"/>
      <c r="T5" s="14"/>
      <c r="U5" s="13"/>
      <c r="V5" s="14"/>
      <c r="W5" s="14"/>
      <c r="X5" s="14"/>
      <c r="Y5" s="14"/>
      <c r="Z5" s="14"/>
      <c r="AA5" s="33">
        <f>AW5/$AJ$1</f>
        <v>9000</v>
      </c>
      <c r="AB5" s="14"/>
      <c r="AC5" s="14"/>
      <c r="AD5" s="14"/>
      <c r="AE5" s="14"/>
      <c r="AF5" s="14"/>
      <c r="AG5" s="34">
        <f>B5-SUM(C5:G5,I5:T5,V5:AF5)</f>
        <v>0</v>
      </c>
      <c r="AH5" s="25"/>
      <c r="AI5" s="2"/>
      <c r="AK5" s="33">
        <v>19000</v>
      </c>
      <c r="AL5" s="57"/>
      <c r="AM5" s="14"/>
      <c r="AN5" s="57">
        <v>25000</v>
      </c>
      <c r="AO5" s="14"/>
      <c r="AP5" s="14"/>
      <c r="AQ5" s="13"/>
      <c r="AR5" s="14"/>
      <c r="AS5" s="14"/>
      <c r="AT5" s="14"/>
      <c r="AU5" s="14"/>
      <c r="AV5" s="14"/>
      <c r="AW5" s="57">
        <v>9000</v>
      </c>
      <c r="AX5" s="14"/>
      <c r="AY5" s="14"/>
      <c r="AZ5" s="14"/>
      <c r="BA5" s="14"/>
      <c r="BB5" s="14"/>
    </row>
    <row r="6" spans="1:54" ht="34.5" customHeight="1">
      <c r="A6" s="2" t="s">
        <v>9</v>
      </c>
      <c r="B6" s="35">
        <v>0</v>
      </c>
      <c r="C6" s="15"/>
      <c r="D6" s="15"/>
      <c r="E6" s="15"/>
      <c r="F6" s="15"/>
      <c r="G6" s="15"/>
      <c r="H6" s="13"/>
      <c r="I6" s="17"/>
      <c r="J6" s="17"/>
      <c r="K6" s="17"/>
      <c r="L6" s="17"/>
      <c r="M6" s="36">
        <v>0</v>
      </c>
      <c r="N6" s="36">
        <v>0</v>
      </c>
      <c r="O6" s="36">
        <v>0</v>
      </c>
      <c r="P6" s="17"/>
      <c r="Q6" s="17"/>
      <c r="R6" s="17"/>
      <c r="S6" s="17"/>
      <c r="T6" s="17"/>
      <c r="U6" s="13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37">
        <f>B6-SUM(C6:G6,I6:T6,V6:AF6)</f>
        <v>0</v>
      </c>
      <c r="AH6" s="25"/>
      <c r="AI6" s="2"/>
      <c r="AK6" s="36">
        <v>0</v>
      </c>
      <c r="AL6" s="17"/>
      <c r="AM6" s="17"/>
      <c r="AN6" s="17"/>
      <c r="AO6" s="17"/>
      <c r="AP6" s="17"/>
      <c r="AQ6" s="13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3" customHeight="1">
      <c r="A7" s="2"/>
      <c r="B7" s="3"/>
      <c r="C7" s="15"/>
      <c r="D7" s="15"/>
      <c r="E7" s="15"/>
      <c r="F7" s="15"/>
      <c r="G7" s="15"/>
      <c r="H7" s="13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2"/>
      <c r="AH7" s="25"/>
      <c r="AI7" s="2"/>
      <c r="AK7" s="14"/>
      <c r="AL7" s="14"/>
      <c r="AM7" s="14"/>
      <c r="AN7" s="14"/>
      <c r="AO7" s="14"/>
      <c r="AP7" s="14"/>
      <c r="AQ7" s="13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8.75">
      <c r="A8" s="108" t="s">
        <v>7</v>
      </c>
      <c r="B8" s="109"/>
      <c r="C8" s="12"/>
      <c r="D8" s="12"/>
      <c r="E8" s="12"/>
      <c r="F8" s="12"/>
      <c r="G8" s="12"/>
      <c r="H8" s="13"/>
      <c r="I8" s="1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2"/>
      <c r="AH8" s="25"/>
      <c r="AI8" s="2"/>
      <c r="AK8" s="14"/>
      <c r="AL8" s="14"/>
      <c r="AM8" s="14"/>
      <c r="AN8" s="14"/>
      <c r="AO8" s="14"/>
      <c r="AP8" s="14"/>
      <c r="AQ8" s="13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34.5" customHeight="1">
      <c r="A9" s="2" t="s">
        <v>2</v>
      </c>
      <c r="B9" s="27">
        <v>57500</v>
      </c>
      <c r="C9" s="15"/>
      <c r="D9" s="15"/>
      <c r="E9" s="15"/>
      <c r="F9" s="15"/>
      <c r="G9" s="15"/>
      <c r="H9" s="13"/>
      <c r="I9" s="17"/>
      <c r="J9" s="17"/>
      <c r="K9" s="17"/>
      <c r="L9" s="17"/>
      <c r="M9" s="17"/>
      <c r="N9" s="17"/>
      <c r="O9" s="39"/>
      <c r="P9" s="53">
        <f>AL9/$AJ$1</f>
        <v>3260</v>
      </c>
      <c r="Q9" s="53">
        <f aca="true" t="shared" si="0" ref="Q9:T10">AM9/$AJ$1</f>
        <v>3260</v>
      </c>
      <c r="R9" s="53">
        <f t="shared" si="0"/>
        <v>3290</v>
      </c>
      <c r="S9" s="53">
        <f t="shared" si="0"/>
        <v>3290</v>
      </c>
      <c r="T9" s="53">
        <f t="shared" si="0"/>
        <v>3290</v>
      </c>
      <c r="U9" s="13"/>
      <c r="V9" s="53">
        <f aca="true" t="shared" si="1" ref="V9:AE10">AR9/$AJ$1</f>
        <v>3290</v>
      </c>
      <c r="W9" s="53">
        <f t="shared" si="1"/>
        <v>3290</v>
      </c>
      <c r="X9" s="53">
        <f t="shared" si="1"/>
        <v>3290</v>
      </c>
      <c r="Y9" s="53">
        <f t="shared" si="1"/>
        <v>3290</v>
      </c>
      <c r="Z9" s="53">
        <f t="shared" si="1"/>
        <v>3290</v>
      </c>
      <c r="AA9" s="53">
        <f t="shared" si="1"/>
        <v>3290</v>
      </c>
      <c r="AB9" s="53">
        <f t="shared" si="1"/>
        <v>3290</v>
      </c>
      <c r="AC9" s="53">
        <f t="shared" si="1"/>
        <v>3290</v>
      </c>
      <c r="AD9" s="53">
        <f t="shared" si="1"/>
        <v>3290</v>
      </c>
      <c r="AE9" s="53">
        <f t="shared" si="1"/>
        <v>11500</v>
      </c>
      <c r="AF9" s="39">
        <v>0</v>
      </c>
      <c r="AG9" s="40">
        <f>B9-SUM(C9:G9,I9:T9,V9:AF9)</f>
        <v>0</v>
      </c>
      <c r="AH9" s="25"/>
      <c r="AI9" s="2"/>
      <c r="AK9" s="39"/>
      <c r="AL9" s="39">
        <v>3260</v>
      </c>
      <c r="AM9" s="39">
        <v>3260</v>
      </c>
      <c r="AN9" s="39">
        <v>3290</v>
      </c>
      <c r="AO9" s="39">
        <v>3290</v>
      </c>
      <c r="AP9" s="39">
        <v>3290</v>
      </c>
      <c r="AQ9" s="13"/>
      <c r="AR9" s="39">
        <v>3290</v>
      </c>
      <c r="AS9" s="39">
        <v>3290</v>
      </c>
      <c r="AT9" s="39">
        <v>3290</v>
      </c>
      <c r="AU9" s="39">
        <v>3290</v>
      </c>
      <c r="AV9" s="39">
        <v>3290</v>
      </c>
      <c r="AW9" s="39">
        <v>3290</v>
      </c>
      <c r="AX9" s="39">
        <v>3290</v>
      </c>
      <c r="AY9" s="39">
        <v>3290</v>
      </c>
      <c r="AZ9" s="39">
        <v>3290</v>
      </c>
      <c r="BA9" s="39">
        <v>11500</v>
      </c>
      <c r="BB9" s="39">
        <v>0</v>
      </c>
    </row>
    <row r="10" spans="1:54" ht="34.5" customHeight="1">
      <c r="A10" s="2" t="s">
        <v>22</v>
      </c>
      <c r="B10" s="41">
        <v>95200</v>
      </c>
      <c r="C10" s="15"/>
      <c r="D10" s="15"/>
      <c r="E10" s="15"/>
      <c r="F10" s="15"/>
      <c r="G10" s="15"/>
      <c r="H10" s="13"/>
      <c r="I10" s="17"/>
      <c r="J10" s="17"/>
      <c r="K10" s="17"/>
      <c r="L10" s="17"/>
      <c r="M10" s="17"/>
      <c r="N10" s="17"/>
      <c r="O10" s="42"/>
      <c r="P10" s="65">
        <f>AL10/$AJ$1</f>
        <v>5440</v>
      </c>
      <c r="Q10" s="65">
        <f t="shared" si="0"/>
        <v>5440</v>
      </c>
      <c r="R10" s="65">
        <f t="shared" si="0"/>
        <v>5440</v>
      </c>
      <c r="S10" s="65">
        <f t="shared" si="0"/>
        <v>5440</v>
      </c>
      <c r="T10" s="65">
        <f t="shared" si="0"/>
        <v>5440</v>
      </c>
      <c r="U10" s="13"/>
      <c r="V10" s="65">
        <f t="shared" si="1"/>
        <v>5440</v>
      </c>
      <c r="W10" s="65">
        <f t="shared" si="1"/>
        <v>5440</v>
      </c>
      <c r="X10" s="65">
        <f t="shared" si="1"/>
        <v>5440</v>
      </c>
      <c r="Y10" s="65">
        <f t="shared" si="1"/>
        <v>5440</v>
      </c>
      <c r="Z10" s="65">
        <f t="shared" si="1"/>
        <v>5440</v>
      </c>
      <c r="AA10" s="65">
        <f t="shared" si="1"/>
        <v>5440</v>
      </c>
      <c r="AB10" s="65">
        <f t="shared" si="1"/>
        <v>5440</v>
      </c>
      <c r="AC10" s="65">
        <f t="shared" si="1"/>
        <v>5440</v>
      </c>
      <c r="AD10" s="65">
        <f t="shared" si="1"/>
        <v>5440</v>
      </c>
      <c r="AE10" s="65">
        <f t="shared" si="1"/>
        <v>19040</v>
      </c>
      <c r="AF10" s="42">
        <v>0</v>
      </c>
      <c r="AG10" s="43">
        <f>B10-SUM(C10:G10,I10:T10,V10:AF10)</f>
        <v>0</v>
      </c>
      <c r="AH10" s="25"/>
      <c r="AI10" s="2"/>
      <c r="AK10" s="42"/>
      <c r="AL10" s="42">
        <v>5440</v>
      </c>
      <c r="AM10" s="42">
        <v>5440</v>
      </c>
      <c r="AN10" s="42">
        <v>5440</v>
      </c>
      <c r="AO10" s="42">
        <v>5440</v>
      </c>
      <c r="AP10" s="42">
        <v>5440</v>
      </c>
      <c r="AQ10" s="13"/>
      <c r="AR10" s="42">
        <v>5440</v>
      </c>
      <c r="AS10" s="42">
        <v>5440</v>
      </c>
      <c r="AT10" s="42">
        <v>5440</v>
      </c>
      <c r="AU10" s="42">
        <v>5440</v>
      </c>
      <c r="AV10" s="42">
        <v>5440</v>
      </c>
      <c r="AW10" s="42">
        <v>5440</v>
      </c>
      <c r="AX10" s="42">
        <v>5440</v>
      </c>
      <c r="AY10" s="42">
        <v>5440</v>
      </c>
      <c r="AZ10" s="42">
        <v>5440</v>
      </c>
      <c r="BA10" s="42">
        <v>19040</v>
      </c>
      <c r="BB10" s="42">
        <v>0</v>
      </c>
    </row>
    <row r="11" spans="1:54" ht="3" customHeight="1">
      <c r="A11" s="2"/>
      <c r="B11" s="3"/>
      <c r="C11" s="15"/>
      <c r="D11" s="15"/>
      <c r="E11" s="15"/>
      <c r="F11" s="15"/>
      <c r="G11" s="15"/>
      <c r="H11" s="13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22"/>
      <c r="AH11" s="25"/>
      <c r="AI11" s="2"/>
      <c r="AK11" s="14"/>
      <c r="AL11" s="14"/>
      <c r="AM11" s="14"/>
      <c r="AN11" s="14"/>
      <c r="AO11" s="14"/>
      <c r="AP11" s="14"/>
      <c r="AQ11" s="13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8.75">
      <c r="A12" s="108" t="s">
        <v>11</v>
      </c>
      <c r="B12" s="109"/>
      <c r="C12" s="12"/>
      <c r="D12" s="12"/>
      <c r="E12" s="12"/>
      <c r="F12" s="12"/>
      <c r="G12" s="12"/>
      <c r="H12" s="13"/>
      <c r="I12" s="1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2"/>
      <c r="AH12" s="25"/>
      <c r="AI12" s="2"/>
      <c r="AK12" s="14"/>
      <c r="AL12" s="14"/>
      <c r="AM12" s="14"/>
      <c r="AN12" s="14"/>
      <c r="AO12" s="14"/>
      <c r="AP12" s="14"/>
      <c r="AQ12" s="13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34.5" customHeight="1">
      <c r="A13" s="2" t="s">
        <v>3</v>
      </c>
      <c r="B13" s="44">
        <v>123600</v>
      </c>
      <c r="C13" s="15"/>
      <c r="D13" s="15"/>
      <c r="E13" s="15"/>
      <c r="F13" s="15"/>
      <c r="G13" s="15"/>
      <c r="H13" s="13"/>
      <c r="I13" s="17"/>
      <c r="J13" s="17"/>
      <c r="K13" s="17"/>
      <c r="L13" s="17"/>
      <c r="M13" s="17"/>
      <c r="N13" s="17"/>
      <c r="O13" s="66">
        <f>AK13/$AJ$1</f>
        <v>98880</v>
      </c>
      <c r="P13" s="66">
        <f aca="true" t="shared" si="2" ref="P13:T15">AL13/$AJ$1</f>
        <v>0</v>
      </c>
      <c r="Q13" s="66">
        <f t="shared" si="2"/>
        <v>0</v>
      </c>
      <c r="R13" s="66">
        <f t="shared" si="2"/>
        <v>0</v>
      </c>
      <c r="S13" s="66">
        <f t="shared" si="2"/>
        <v>0</v>
      </c>
      <c r="T13" s="66">
        <f t="shared" si="2"/>
        <v>0</v>
      </c>
      <c r="U13" s="13"/>
      <c r="V13" s="66">
        <f aca="true" t="shared" si="3" ref="V13:AF13">AR13/$AJ$1</f>
        <v>0</v>
      </c>
      <c r="W13" s="66">
        <f t="shared" si="3"/>
        <v>0</v>
      </c>
      <c r="X13" s="66">
        <f t="shared" si="3"/>
        <v>0</v>
      </c>
      <c r="Y13" s="66">
        <f t="shared" si="3"/>
        <v>0</v>
      </c>
      <c r="Z13" s="66">
        <f t="shared" si="3"/>
        <v>0</v>
      </c>
      <c r="AA13" s="66">
        <f t="shared" si="3"/>
        <v>0</v>
      </c>
      <c r="AB13" s="66">
        <f t="shared" si="3"/>
        <v>0</v>
      </c>
      <c r="AC13" s="66">
        <f t="shared" si="3"/>
        <v>0</v>
      </c>
      <c r="AD13" s="66">
        <f t="shared" si="3"/>
        <v>0</v>
      </c>
      <c r="AE13" s="66">
        <v>0</v>
      </c>
      <c r="AF13" s="66">
        <f t="shared" si="3"/>
        <v>0</v>
      </c>
      <c r="AG13" s="46">
        <f>B13-SUM(C13:G13,I13:T13,V13:AF13)</f>
        <v>24720</v>
      </c>
      <c r="AH13" s="25"/>
      <c r="AI13" s="2"/>
      <c r="AK13" s="45">
        <v>98880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13"/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24720</v>
      </c>
      <c r="BB13" s="45">
        <v>0</v>
      </c>
    </row>
    <row r="14" spans="1:54" ht="28.5">
      <c r="A14" s="2" t="s">
        <v>8</v>
      </c>
      <c r="B14" s="47">
        <v>33750</v>
      </c>
      <c r="C14" s="15"/>
      <c r="D14" s="15"/>
      <c r="E14" s="15"/>
      <c r="F14" s="15"/>
      <c r="G14" s="15"/>
      <c r="H14" s="13"/>
      <c r="I14" s="17"/>
      <c r="J14" s="17"/>
      <c r="K14" s="17"/>
      <c r="L14" s="17"/>
      <c r="M14" s="17"/>
      <c r="N14" s="17"/>
      <c r="O14" s="67">
        <f>AK14/$AJ$1</f>
        <v>0</v>
      </c>
      <c r="P14" s="67">
        <f t="shared" si="2"/>
        <v>0</v>
      </c>
      <c r="Q14" s="67">
        <v>2250</v>
      </c>
      <c r="R14" s="67">
        <v>2250</v>
      </c>
      <c r="S14" s="67">
        <v>2250</v>
      </c>
      <c r="T14" s="67">
        <v>2250</v>
      </c>
      <c r="U14" s="13"/>
      <c r="V14" s="67">
        <v>2250</v>
      </c>
      <c r="W14" s="67">
        <v>2250</v>
      </c>
      <c r="X14" s="67">
        <v>2250</v>
      </c>
      <c r="Y14" s="67">
        <v>2250</v>
      </c>
      <c r="Z14" s="67">
        <v>2250</v>
      </c>
      <c r="AA14" s="67">
        <v>2250</v>
      </c>
      <c r="AB14" s="67">
        <v>2250</v>
      </c>
      <c r="AC14" s="67">
        <v>2250</v>
      </c>
      <c r="AD14" s="67">
        <v>2250</v>
      </c>
      <c r="AE14" s="67">
        <v>2250</v>
      </c>
      <c r="AF14" s="67">
        <v>2250</v>
      </c>
      <c r="AG14" s="49">
        <f>B14-SUM(C14:G14,I14:T14,V14:AF14)</f>
        <v>0</v>
      </c>
      <c r="AH14" s="25"/>
      <c r="AI14" s="2"/>
      <c r="AK14" s="48">
        <v>0</v>
      </c>
      <c r="AL14" s="48">
        <v>0</v>
      </c>
      <c r="AM14" s="48">
        <v>2000</v>
      </c>
      <c r="AN14" s="48">
        <v>2000</v>
      </c>
      <c r="AO14" s="48">
        <v>2000</v>
      </c>
      <c r="AP14" s="48">
        <v>2000</v>
      </c>
      <c r="AQ14" s="13"/>
      <c r="AR14" s="48">
        <v>2000</v>
      </c>
      <c r="AS14" s="48">
        <v>2000</v>
      </c>
      <c r="AT14" s="48">
        <v>2000</v>
      </c>
      <c r="AU14" s="48">
        <v>2000</v>
      </c>
      <c r="AV14" s="48">
        <v>2000</v>
      </c>
      <c r="AW14" s="48">
        <v>2000</v>
      </c>
      <c r="AX14" s="48">
        <v>2000</v>
      </c>
      <c r="AY14" s="48">
        <v>2000</v>
      </c>
      <c r="AZ14" s="48">
        <v>2000</v>
      </c>
      <c r="BA14" s="48">
        <v>3000</v>
      </c>
      <c r="BB14" s="48">
        <v>4000</v>
      </c>
    </row>
    <row r="15" spans="1:54" ht="34.5" customHeight="1">
      <c r="A15" s="2" t="s">
        <v>4</v>
      </c>
      <c r="B15" s="50">
        <v>37500</v>
      </c>
      <c r="C15" s="15"/>
      <c r="D15" s="15"/>
      <c r="E15" s="15"/>
      <c r="F15" s="15"/>
      <c r="G15" s="15"/>
      <c r="H15" s="13"/>
      <c r="I15" s="17"/>
      <c r="J15" s="17"/>
      <c r="K15" s="17"/>
      <c r="L15" s="17"/>
      <c r="M15" s="17"/>
      <c r="N15" s="17"/>
      <c r="O15" s="68">
        <f>AK15/$AJ$1</f>
        <v>0</v>
      </c>
      <c r="P15" s="68">
        <f t="shared" si="2"/>
        <v>0</v>
      </c>
      <c r="Q15" s="68">
        <v>2500</v>
      </c>
      <c r="R15" s="68">
        <v>2500</v>
      </c>
      <c r="S15" s="68">
        <v>2500</v>
      </c>
      <c r="T15" s="68">
        <v>2500</v>
      </c>
      <c r="U15" s="13"/>
      <c r="V15" s="68">
        <v>2500</v>
      </c>
      <c r="W15" s="68">
        <v>2500</v>
      </c>
      <c r="X15" s="68">
        <v>2500</v>
      </c>
      <c r="Y15" s="68">
        <v>2500</v>
      </c>
      <c r="Z15" s="68">
        <v>2500</v>
      </c>
      <c r="AA15" s="68">
        <v>2500</v>
      </c>
      <c r="AB15" s="68">
        <v>2500</v>
      </c>
      <c r="AC15" s="68">
        <v>2500</v>
      </c>
      <c r="AD15" s="68">
        <v>2500</v>
      </c>
      <c r="AE15" s="68">
        <v>2500</v>
      </c>
      <c r="AF15" s="68">
        <v>2500</v>
      </c>
      <c r="AG15" s="52">
        <f>B15-SUM(C15:G15,I15:T15,V15:AF15)</f>
        <v>0</v>
      </c>
      <c r="AH15" s="25"/>
      <c r="AI15" s="2"/>
      <c r="AK15" s="51">
        <f>0</f>
        <v>0</v>
      </c>
      <c r="AL15" s="51">
        <f>0</f>
        <v>0</v>
      </c>
      <c r="AM15" s="51">
        <v>6400</v>
      </c>
      <c r="AN15" s="51">
        <v>2100</v>
      </c>
      <c r="AO15" s="51">
        <v>2100</v>
      </c>
      <c r="AP15" s="51">
        <v>2200</v>
      </c>
      <c r="AQ15" s="13"/>
      <c r="AR15" s="51">
        <v>2100</v>
      </c>
      <c r="AS15" s="51">
        <v>2100</v>
      </c>
      <c r="AT15" s="51">
        <v>2200</v>
      </c>
      <c r="AU15" s="51">
        <v>2100</v>
      </c>
      <c r="AV15" s="51">
        <v>2100</v>
      </c>
      <c r="AW15" s="51">
        <v>2200</v>
      </c>
      <c r="AX15" s="51">
        <v>2100</v>
      </c>
      <c r="AY15" s="51">
        <v>2100</v>
      </c>
      <c r="AZ15" s="51">
        <v>2200</v>
      </c>
      <c r="BA15" s="51">
        <v>3200</v>
      </c>
      <c r="BB15" s="51">
        <v>3200</v>
      </c>
    </row>
    <row r="16" spans="1:54" ht="3" customHeight="1">
      <c r="A16" s="2"/>
      <c r="B16" s="3"/>
      <c r="C16" s="15"/>
      <c r="D16" s="15"/>
      <c r="E16" s="15"/>
      <c r="F16" s="15"/>
      <c r="G16" s="15"/>
      <c r="H16" s="13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22"/>
      <c r="AH16" s="25"/>
      <c r="AI16" s="2"/>
      <c r="AK16" s="14"/>
      <c r="AL16" s="14"/>
      <c r="AM16" s="14"/>
      <c r="AN16" s="14"/>
      <c r="AO16" s="14"/>
      <c r="AP16" s="14"/>
      <c r="AQ16" s="13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8.75">
      <c r="A17" s="108" t="s">
        <v>10</v>
      </c>
      <c r="B17" s="109"/>
      <c r="C17" s="12"/>
      <c r="D17" s="12"/>
      <c r="E17" s="12"/>
      <c r="F17" s="12"/>
      <c r="G17" s="12"/>
      <c r="H17" s="13"/>
      <c r="I17" s="1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2"/>
      <c r="AH17" s="25"/>
      <c r="AI17" s="2"/>
      <c r="AK17" s="14"/>
      <c r="AL17" s="14"/>
      <c r="AM17" s="14"/>
      <c r="AN17" s="14"/>
      <c r="AO17" s="14"/>
      <c r="AP17" s="14"/>
      <c r="AQ17" s="13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45" customHeight="1">
      <c r="A18" s="7" t="s">
        <v>19</v>
      </c>
      <c r="B18" s="27">
        <f>1241511.53</f>
        <v>1241511.53</v>
      </c>
      <c r="C18" s="15"/>
      <c r="D18" s="15"/>
      <c r="E18" s="9"/>
      <c r="F18" s="9"/>
      <c r="G18" s="9"/>
      <c r="H18" s="13"/>
      <c r="I18" s="9"/>
      <c r="J18" s="16"/>
      <c r="K18" s="16"/>
      <c r="L18" s="16"/>
      <c r="M18" s="16"/>
      <c r="N18" s="16"/>
      <c r="O18" s="53">
        <f aca="true" t="shared" si="4" ref="O18:O23">AK18/$AJ$1</f>
        <v>0</v>
      </c>
      <c r="P18" s="53">
        <f>AL18/$AJ$1</f>
        <v>482571.18</v>
      </c>
      <c r="Q18" s="53">
        <f aca="true" t="shared" si="5" ref="P18:T19">AM18/$AJ$1</f>
        <v>227807.65</v>
      </c>
      <c r="R18" s="53">
        <f t="shared" si="5"/>
        <v>78700.65</v>
      </c>
      <c r="S18" s="53">
        <f t="shared" si="5"/>
        <v>80933.09</v>
      </c>
      <c r="T18" s="53">
        <f t="shared" si="5"/>
        <v>41231.119999999995</v>
      </c>
      <c r="U18" s="13"/>
      <c r="V18" s="53">
        <f aca="true" t="shared" si="6" ref="V18:AF22">AR18/$AJ$1</f>
        <v>78736.34999999999</v>
      </c>
      <c r="W18" s="53">
        <f t="shared" si="6"/>
        <v>0</v>
      </c>
      <c r="X18" s="53">
        <f t="shared" si="6"/>
        <v>0</v>
      </c>
      <c r="Y18" s="53">
        <f t="shared" si="6"/>
        <v>0</v>
      </c>
      <c r="Z18" s="53">
        <f t="shared" si="6"/>
        <v>96793.40999999999</v>
      </c>
      <c r="AA18" s="53">
        <f t="shared" si="6"/>
        <v>1477.98</v>
      </c>
      <c r="AB18" s="53">
        <f t="shared" si="6"/>
        <v>0</v>
      </c>
      <c r="AC18" s="53">
        <f t="shared" si="6"/>
        <v>82586</v>
      </c>
      <c r="AD18" s="53">
        <f t="shared" si="6"/>
        <v>70674.09999999999</v>
      </c>
      <c r="AE18" s="53">
        <f t="shared" si="6"/>
        <v>0</v>
      </c>
      <c r="AF18" s="53">
        <f t="shared" si="6"/>
        <v>0</v>
      </c>
      <c r="AG18" s="40">
        <f aca="true" t="shared" si="7" ref="AG18:AG23">B18-SUM(C18:G18,I18:T18,V18:AF18)</f>
        <v>0</v>
      </c>
      <c r="AH18" s="25"/>
      <c r="AI18" s="2"/>
      <c r="AK18" s="53"/>
      <c r="AL18" s="53">
        <f>405522*1.19</f>
        <v>482571.18</v>
      </c>
      <c r="AM18" s="53">
        <f>191435*1.19</f>
        <v>227807.65</v>
      </c>
      <c r="AN18" s="53">
        <f>66135*1.19</f>
        <v>78700.65</v>
      </c>
      <c r="AO18" s="53">
        <f>68011*1.19</f>
        <v>80933.09</v>
      </c>
      <c r="AP18" s="53">
        <f>34648*1.19</f>
        <v>41231.119999999995</v>
      </c>
      <c r="AQ18" s="13"/>
      <c r="AR18" s="53">
        <f>66165*1.19</f>
        <v>78736.34999999999</v>
      </c>
      <c r="AS18" s="53"/>
      <c r="AT18" s="53"/>
      <c r="AU18" s="53"/>
      <c r="AV18" s="53">
        <f>81339*1.19</f>
        <v>96793.40999999999</v>
      </c>
      <c r="AW18" s="53">
        <f>1242*1.19</f>
        <v>1477.98</v>
      </c>
      <c r="AX18" s="53"/>
      <c r="AY18" s="53">
        <f>69400*1.19</f>
        <v>82586</v>
      </c>
      <c r="AZ18" s="53">
        <f>59390*1.19</f>
        <v>70674.09999999999</v>
      </c>
      <c r="BA18" s="53"/>
      <c r="BB18" s="53"/>
    </row>
    <row r="19" spans="1:54" ht="52.5" customHeight="1">
      <c r="A19" s="7" t="s">
        <v>20</v>
      </c>
      <c r="B19" s="28">
        <f>3423960</f>
        <v>3423960</v>
      </c>
      <c r="C19" s="15"/>
      <c r="D19" s="15"/>
      <c r="E19" s="9"/>
      <c r="F19" s="9"/>
      <c r="G19" s="9"/>
      <c r="H19" s="13"/>
      <c r="I19" s="9"/>
      <c r="J19" s="16"/>
      <c r="K19" s="16"/>
      <c r="L19" s="16"/>
      <c r="M19" s="16"/>
      <c r="N19" s="16"/>
      <c r="O19" s="54">
        <f t="shared" si="4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0</v>
      </c>
      <c r="T19" s="54">
        <f t="shared" si="5"/>
        <v>0</v>
      </c>
      <c r="U19" s="13"/>
      <c r="V19" s="54">
        <f t="shared" si="6"/>
        <v>161917.35</v>
      </c>
      <c r="W19" s="54">
        <f t="shared" si="6"/>
        <v>606900</v>
      </c>
      <c r="X19" s="54">
        <f t="shared" si="6"/>
        <v>376099.5</v>
      </c>
      <c r="Y19" s="54">
        <f t="shared" si="6"/>
        <v>491146.32</v>
      </c>
      <c r="Z19" s="54">
        <f t="shared" si="6"/>
        <v>1559248.67</v>
      </c>
      <c r="AA19" s="54">
        <f>AW19/$AJ$1+2</f>
        <v>228648.59999999998</v>
      </c>
      <c r="AB19" s="54">
        <f t="shared" si="6"/>
        <v>0</v>
      </c>
      <c r="AC19" s="54">
        <f t="shared" si="6"/>
        <v>0</v>
      </c>
      <c r="AD19" s="54">
        <f t="shared" si="6"/>
        <v>0</v>
      </c>
      <c r="AE19" s="54">
        <f t="shared" si="6"/>
        <v>0</v>
      </c>
      <c r="AF19" s="54">
        <f t="shared" si="6"/>
        <v>0</v>
      </c>
      <c r="AG19" s="38">
        <f t="shared" si="7"/>
        <v>-0.43999999994412065</v>
      </c>
      <c r="AH19" s="25"/>
      <c r="AI19" s="2"/>
      <c r="AK19" s="54"/>
      <c r="AL19" s="54"/>
      <c r="AM19" s="54"/>
      <c r="AN19" s="54"/>
      <c r="AO19" s="54"/>
      <c r="AP19" s="54"/>
      <c r="AQ19" s="13"/>
      <c r="AR19" s="54">
        <f>136065*1.19</f>
        <v>161917.35</v>
      </c>
      <c r="AS19" s="54">
        <f>510000*1.19</f>
        <v>606900</v>
      </c>
      <c r="AT19" s="54">
        <f>316050*1.19</f>
        <v>376099.5</v>
      </c>
      <c r="AU19" s="54">
        <f>412728*1.19</f>
        <v>491146.32</v>
      </c>
      <c r="AV19" s="54">
        <f>1310293*1.19</f>
        <v>1559248.67</v>
      </c>
      <c r="AW19" s="54">
        <f>192140*1.19</f>
        <v>228646.59999999998</v>
      </c>
      <c r="AX19" s="54"/>
      <c r="AY19" s="54"/>
      <c r="AZ19" s="54"/>
      <c r="BA19" s="54"/>
      <c r="BB19" s="54"/>
    </row>
    <row r="20" spans="1:54" ht="45" customHeight="1">
      <c r="A20" s="7" t="s">
        <v>17</v>
      </c>
      <c r="B20" s="27">
        <f>2489085</f>
        <v>2489085</v>
      </c>
      <c r="C20" s="15"/>
      <c r="D20" s="15"/>
      <c r="E20" s="9"/>
      <c r="F20" s="9"/>
      <c r="G20" s="9"/>
      <c r="H20" s="13"/>
      <c r="I20" s="9"/>
      <c r="J20" s="16"/>
      <c r="K20" s="16"/>
      <c r="L20" s="16"/>
      <c r="M20" s="16"/>
      <c r="N20" s="16"/>
      <c r="O20" s="53">
        <f t="shared" si="4"/>
        <v>0</v>
      </c>
      <c r="P20" s="53">
        <f aca="true" t="shared" si="8" ref="P20:T21">AL20/$AJ$1</f>
        <v>0</v>
      </c>
      <c r="Q20" s="53">
        <f t="shared" si="8"/>
        <v>0</v>
      </c>
      <c r="R20" s="53">
        <f t="shared" si="8"/>
        <v>0</v>
      </c>
      <c r="S20" s="53">
        <f t="shared" si="8"/>
        <v>0</v>
      </c>
      <c r="T20" s="53">
        <f t="shared" si="8"/>
        <v>0</v>
      </c>
      <c r="U20" s="13"/>
      <c r="V20" s="53">
        <f t="shared" si="6"/>
        <v>0</v>
      </c>
      <c r="W20" s="53">
        <f t="shared" si="6"/>
        <v>0</v>
      </c>
      <c r="X20" s="53">
        <f t="shared" si="6"/>
        <v>0</v>
      </c>
      <c r="Y20" s="53">
        <f t="shared" si="6"/>
        <v>154700</v>
      </c>
      <c r="Z20" s="53">
        <f t="shared" si="6"/>
        <v>620256.5599999999</v>
      </c>
      <c r="AA20" s="53">
        <f t="shared" si="6"/>
        <v>515215.25999999995</v>
      </c>
      <c r="AB20" s="53">
        <f t="shared" si="6"/>
        <v>723484.2999999999</v>
      </c>
      <c r="AC20" s="53">
        <f t="shared" si="6"/>
        <v>475428.8</v>
      </c>
      <c r="AD20" s="53">
        <f t="shared" si="6"/>
        <v>0</v>
      </c>
      <c r="AE20" s="53">
        <f t="shared" si="6"/>
        <v>0</v>
      </c>
      <c r="AF20" s="53">
        <f t="shared" si="6"/>
        <v>0</v>
      </c>
      <c r="AG20" s="40">
        <f t="shared" si="7"/>
        <v>0.0800000005401671</v>
      </c>
      <c r="AH20" s="25"/>
      <c r="AI20" s="2"/>
      <c r="AK20" s="53"/>
      <c r="AL20" s="53"/>
      <c r="AM20" s="53"/>
      <c r="AN20" s="53"/>
      <c r="AO20" s="53"/>
      <c r="AP20" s="53"/>
      <c r="AQ20" s="13"/>
      <c r="AR20" s="53"/>
      <c r="AS20" s="53"/>
      <c r="AT20" s="53"/>
      <c r="AU20" s="53">
        <f>130000*1.19</f>
        <v>154700</v>
      </c>
      <c r="AV20" s="53">
        <f>521224*1.19</f>
        <v>620256.5599999999</v>
      </c>
      <c r="AW20" s="53">
        <f>432954*1.19</f>
        <v>515215.25999999995</v>
      </c>
      <c r="AX20" s="53">
        <f>607970*1.19</f>
        <v>723484.2999999999</v>
      </c>
      <c r="AY20" s="53">
        <f>399520*1.19</f>
        <v>475428.8</v>
      </c>
      <c r="AZ20" s="53"/>
      <c r="BA20" s="53"/>
      <c r="BB20" s="53"/>
    </row>
    <row r="21" spans="1:54" ht="51.75" customHeight="1">
      <c r="A21" s="7" t="s">
        <v>18</v>
      </c>
      <c r="B21" s="28">
        <f>1176347</f>
        <v>1176347</v>
      </c>
      <c r="C21" s="15"/>
      <c r="D21" s="15"/>
      <c r="E21" s="9"/>
      <c r="F21" s="9"/>
      <c r="G21" s="9"/>
      <c r="H21" s="13"/>
      <c r="I21" s="9"/>
      <c r="J21" s="16"/>
      <c r="K21" s="16"/>
      <c r="L21" s="16"/>
      <c r="M21" s="16"/>
      <c r="N21" s="16"/>
      <c r="O21" s="54">
        <f t="shared" si="4"/>
        <v>0</v>
      </c>
      <c r="P21" s="54">
        <f t="shared" si="8"/>
        <v>0</v>
      </c>
      <c r="Q21" s="54">
        <f t="shared" si="8"/>
        <v>0</v>
      </c>
      <c r="R21" s="54">
        <f t="shared" si="8"/>
        <v>0</v>
      </c>
      <c r="S21" s="54">
        <f t="shared" si="8"/>
        <v>0</v>
      </c>
      <c r="T21" s="54">
        <f t="shared" si="8"/>
        <v>0</v>
      </c>
      <c r="U21" s="13"/>
      <c r="V21" s="54">
        <f t="shared" si="6"/>
        <v>0</v>
      </c>
      <c r="W21" s="54">
        <f t="shared" si="6"/>
        <v>0</v>
      </c>
      <c r="X21" s="54">
        <f t="shared" si="6"/>
        <v>0</v>
      </c>
      <c r="Y21" s="54">
        <f t="shared" si="6"/>
        <v>0</v>
      </c>
      <c r="Z21" s="54">
        <f t="shared" si="6"/>
        <v>0</v>
      </c>
      <c r="AA21" s="54">
        <f t="shared" si="6"/>
        <v>0</v>
      </c>
      <c r="AB21" s="54">
        <f t="shared" si="6"/>
        <v>200774.41999999998</v>
      </c>
      <c r="AC21" s="54">
        <f>AY21/$AJ$1-1</f>
        <v>975572.8999999999</v>
      </c>
      <c r="AD21" s="54">
        <f t="shared" si="6"/>
        <v>0</v>
      </c>
      <c r="AE21" s="54">
        <f t="shared" si="6"/>
        <v>0</v>
      </c>
      <c r="AF21" s="54">
        <f t="shared" si="6"/>
        <v>0</v>
      </c>
      <c r="AG21" s="38">
        <f t="shared" si="7"/>
        <v>-0.31999999983236194</v>
      </c>
      <c r="AH21" s="25"/>
      <c r="AI21" s="2"/>
      <c r="AK21" s="54"/>
      <c r="AL21" s="54"/>
      <c r="AM21" s="54"/>
      <c r="AN21" s="54"/>
      <c r="AO21" s="54"/>
      <c r="AP21" s="54"/>
      <c r="AQ21" s="13"/>
      <c r="AR21" s="54"/>
      <c r="AS21" s="54"/>
      <c r="AT21" s="54"/>
      <c r="AU21" s="54"/>
      <c r="AV21" s="55"/>
      <c r="AW21" s="55"/>
      <c r="AX21" s="55">
        <f>168718*1.19</f>
        <v>200774.41999999998</v>
      </c>
      <c r="AY21" s="55">
        <f>819810*1.19</f>
        <v>975573.8999999999</v>
      </c>
      <c r="AZ21" s="54"/>
      <c r="BA21" s="54"/>
      <c r="BB21" s="54"/>
    </row>
    <row r="22" spans="1:54" ht="45" customHeight="1">
      <c r="A22" s="7" t="s">
        <v>21</v>
      </c>
      <c r="B22" s="27">
        <f>1073054</f>
        <v>1073054</v>
      </c>
      <c r="C22" s="15"/>
      <c r="D22" s="15"/>
      <c r="E22" s="9"/>
      <c r="F22" s="9"/>
      <c r="G22" s="9"/>
      <c r="H22" s="13"/>
      <c r="I22" s="9"/>
      <c r="J22" s="16"/>
      <c r="K22" s="16"/>
      <c r="L22" s="16"/>
      <c r="M22" s="16"/>
      <c r="N22" s="16"/>
      <c r="O22" s="53">
        <f t="shared" si="4"/>
        <v>0</v>
      </c>
      <c r="P22" s="53">
        <f>AL22/$AJ$1</f>
        <v>840623.14</v>
      </c>
      <c r="Q22" s="53">
        <f aca="true" t="shared" si="9" ref="P22:S23">AM22/$AJ$1</f>
        <v>0</v>
      </c>
      <c r="R22" s="53">
        <f t="shared" si="9"/>
        <v>0</v>
      </c>
      <c r="S22" s="53">
        <f t="shared" si="9"/>
        <v>232430.8</v>
      </c>
      <c r="T22" s="53">
        <f aca="true" t="shared" si="10" ref="T22:V23">AP22/$AJ$1</f>
        <v>0</v>
      </c>
      <c r="U22" s="13"/>
      <c r="V22" s="53">
        <f t="shared" si="6"/>
        <v>0</v>
      </c>
      <c r="W22" s="53">
        <f t="shared" si="6"/>
        <v>0</v>
      </c>
      <c r="X22" s="53">
        <f t="shared" si="6"/>
        <v>0</v>
      </c>
      <c r="Y22" s="53">
        <f t="shared" si="6"/>
        <v>0</v>
      </c>
      <c r="Z22" s="53">
        <f t="shared" si="6"/>
        <v>0</v>
      </c>
      <c r="AA22" s="53">
        <f t="shared" si="6"/>
        <v>0</v>
      </c>
      <c r="AB22" s="53">
        <f t="shared" si="6"/>
        <v>0</v>
      </c>
      <c r="AC22" s="53">
        <f t="shared" si="6"/>
        <v>0</v>
      </c>
      <c r="AD22" s="53">
        <f t="shared" si="6"/>
        <v>0</v>
      </c>
      <c r="AE22" s="53">
        <f t="shared" si="6"/>
        <v>0</v>
      </c>
      <c r="AF22" s="53">
        <f t="shared" si="6"/>
        <v>0</v>
      </c>
      <c r="AG22" s="40">
        <f t="shared" si="7"/>
        <v>0.060000000055879354</v>
      </c>
      <c r="AH22" s="25"/>
      <c r="AI22" s="2"/>
      <c r="AK22" s="53"/>
      <c r="AL22" s="53">
        <f>706406*1.19</f>
        <v>840623.14</v>
      </c>
      <c r="AM22" s="53"/>
      <c r="AN22" s="53"/>
      <c r="AO22" s="53">
        <f>195320*1.19</f>
        <v>232430.8</v>
      </c>
      <c r="AP22" s="53"/>
      <c r="AQ22" s="1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54" ht="45" customHeight="1">
      <c r="A23" s="7" t="s">
        <v>24</v>
      </c>
      <c r="B23" s="62">
        <f>62671</f>
        <v>62671</v>
      </c>
      <c r="C23" s="15"/>
      <c r="D23" s="15"/>
      <c r="E23" s="9"/>
      <c r="F23" s="9"/>
      <c r="G23" s="9"/>
      <c r="H23" s="13"/>
      <c r="I23" s="9"/>
      <c r="J23" s="16"/>
      <c r="K23" s="16"/>
      <c r="L23" s="16"/>
      <c r="M23" s="16"/>
      <c r="N23" s="16"/>
      <c r="O23" s="63">
        <f t="shared" si="4"/>
        <v>0</v>
      </c>
      <c r="P23" s="63">
        <f t="shared" si="9"/>
        <v>14994</v>
      </c>
      <c r="Q23" s="63">
        <f t="shared" si="9"/>
        <v>0</v>
      </c>
      <c r="R23" s="63">
        <f t="shared" si="9"/>
        <v>0</v>
      </c>
      <c r="S23" s="63">
        <f t="shared" si="9"/>
        <v>0</v>
      </c>
      <c r="T23" s="63">
        <f t="shared" si="10"/>
        <v>6664</v>
      </c>
      <c r="U23" s="13"/>
      <c r="V23" s="63">
        <f t="shared" si="10"/>
        <v>0</v>
      </c>
      <c r="W23" s="63">
        <f aca="true" t="shared" si="11" ref="W23:AF23">AS23/$AJ$1</f>
        <v>0</v>
      </c>
      <c r="X23" s="63">
        <f t="shared" si="11"/>
        <v>6664</v>
      </c>
      <c r="Y23" s="63">
        <f t="shared" si="11"/>
        <v>0</v>
      </c>
      <c r="Z23" s="63">
        <f t="shared" si="11"/>
        <v>0</v>
      </c>
      <c r="AA23" s="63">
        <f t="shared" si="11"/>
        <v>6664</v>
      </c>
      <c r="AB23" s="63">
        <f t="shared" si="11"/>
        <v>0</v>
      </c>
      <c r="AC23" s="63">
        <f t="shared" si="11"/>
        <v>0</v>
      </c>
      <c r="AD23" s="63">
        <f t="shared" si="11"/>
        <v>27685.35</v>
      </c>
      <c r="AE23" s="63">
        <f t="shared" si="11"/>
        <v>0</v>
      </c>
      <c r="AF23" s="63">
        <f t="shared" si="11"/>
        <v>0</v>
      </c>
      <c r="AG23" s="64">
        <f t="shared" si="7"/>
        <v>-0.3499999999985448</v>
      </c>
      <c r="AH23" s="25"/>
      <c r="AI23" s="2"/>
      <c r="AK23" s="63"/>
      <c r="AL23" s="63">
        <f>(2000+5000+28000/5)*1.19</f>
        <v>14994</v>
      </c>
      <c r="AM23" s="63"/>
      <c r="AN23" s="63"/>
      <c r="AO23" s="63"/>
      <c r="AP23" s="63">
        <f>28000/5*1.19</f>
        <v>6664</v>
      </c>
      <c r="AQ23" s="13"/>
      <c r="AR23" s="63"/>
      <c r="AS23" s="63"/>
      <c r="AT23" s="63">
        <f>28000/5*1.19</f>
        <v>6664</v>
      </c>
      <c r="AU23" s="63"/>
      <c r="AV23" s="63"/>
      <c r="AW23" s="63">
        <f>28000/5*1.19</f>
        <v>6664</v>
      </c>
      <c r="AX23" s="63"/>
      <c r="AY23" s="63"/>
      <c r="AZ23" s="63">
        <f>(28000/5+5000+10665+2000)*1.19</f>
        <v>27685.35</v>
      </c>
      <c r="BA23" s="63"/>
      <c r="BB23" s="63"/>
    </row>
    <row r="24" spans="3:54" ht="3" customHeight="1">
      <c r="C24" s="18"/>
      <c r="D24" s="18"/>
      <c r="E24" s="18"/>
      <c r="F24" s="18"/>
      <c r="G24" s="18"/>
      <c r="H24" s="13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3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5"/>
      <c r="AI24" s="2"/>
      <c r="AK24" s="19"/>
      <c r="AL24" s="19"/>
      <c r="AM24" s="19"/>
      <c r="AN24" s="19"/>
      <c r="AO24" s="19"/>
      <c r="AP24" s="19"/>
      <c r="AQ24" s="13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54" ht="33.75">
      <c r="A25" s="26" t="s">
        <v>0</v>
      </c>
      <c r="B25" s="3">
        <v>59441</v>
      </c>
      <c r="C25" s="15"/>
      <c r="D25" s="15"/>
      <c r="E25" s="15"/>
      <c r="F25" s="15"/>
      <c r="G25" s="15"/>
      <c r="H25" s="13"/>
      <c r="I25" s="17"/>
      <c r="J25" s="14"/>
      <c r="K25" s="14"/>
      <c r="L25" s="14"/>
      <c r="M25" s="14"/>
      <c r="N25" s="14"/>
      <c r="O25" s="20">
        <f aca="true" t="shared" si="12" ref="O25:T25">AK25/$AJ$1</f>
        <v>11900</v>
      </c>
      <c r="P25" s="20">
        <f t="shared" si="12"/>
        <v>0</v>
      </c>
      <c r="Q25" s="20">
        <f t="shared" si="12"/>
        <v>0</v>
      </c>
      <c r="R25" s="20">
        <f t="shared" si="12"/>
        <v>0</v>
      </c>
      <c r="S25" s="20">
        <f t="shared" si="12"/>
        <v>0</v>
      </c>
      <c r="T25" s="20">
        <f t="shared" si="12"/>
        <v>0</v>
      </c>
      <c r="U25" s="13"/>
      <c r="V25" s="20">
        <f aca="true" t="shared" si="13" ref="V25:AF25">AR25/$AJ$1</f>
        <v>0</v>
      </c>
      <c r="W25" s="20">
        <f t="shared" si="13"/>
        <v>0</v>
      </c>
      <c r="X25" s="20">
        <f t="shared" si="13"/>
        <v>0</v>
      </c>
      <c r="Y25" s="20">
        <f t="shared" si="13"/>
        <v>0</v>
      </c>
      <c r="Z25" s="20">
        <f t="shared" si="13"/>
        <v>0</v>
      </c>
      <c r="AA25" s="20">
        <f t="shared" si="13"/>
        <v>0</v>
      </c>
      <c r="AB25" s="20">
        <f t="shared" si="13"/>
        <v>0</v>
      </c>
      <c r="AC25" s="20">
        <f t="shared" si="13"/>
        <v>0</v>
      </c>
      <c r="AD25" s="20">
        <f t="shared" si="13"/>
        <v>47541</v>
      </c>
      <c r="AE25" s="20">
        <f t="shared" si="13"/>
        <v>0</v>
      </c>
      <c r="AF25" s="20">
        <f t="shared" si="13"/>
        <v>0</v>
      </c>
      <c r="AG25" s="23">
        <f>B25-SUM(C25:G25,I25:T25,V25:AF25)</f>
        <v>0</v>
      </c>
      <c r="AH25" s="25"/>
      <c r="AI25" s="2"/>
      <c r="AK25" s="20">
        <v>11900</v>
      </c>
      <c r="AL25" s="20">
        <f>0/27.89</f>
        <v>0</v>
      </c>
      <c r="AM25" s="20">
        <f>0/27.89</f>
        <v>0</v>
      </c>
      <c r="AN25" s="20">
        <f>0/27.89</f>
        <v>0</v>
      </c>
      <c r="AO25" s="20">
        <f>0/27.89</f>
        <v>0</v>
      </c>
      <c r="AP25" s="20">
        <f>0/27.89</f>
        <v>0</v>
      </c>
      <c r="AQ25" s="13"/>
      <c r="AR25" s="20">
        <f>0/27.89</f>
        <v>0</v>
      </c>
      <c r="AS25" s="20">
        <f aca="true" t="shared" si="14" ref="AS25:BA25">0/27.89</f>
        <v>0</v>
      </c>
      <c r="AT25" s="20">
        <f t="shared" si="14"/>
        <v>0</v>
      </c>
      <c r="AU25" s="20">
        <f t="shared" si="14"/>
        <v>0</v>
      </c>
      <c r="AV25" s="20">
        <f t="shared" si="14"/>
        <v>0</v>
      </c>
      <c r="AW25" s="20">
        <f t="shared" si="14"/>
        <v>0</v>
      </c>
      <c r="AX25" s="20">
        <f t="shared" si="14"/>
        <v>0</v>
      </c>
      <c r="AY25" s="20">
        <f t="shared" si="14"/>
        <v>0</v>
      </c>
      <c r="AZ25" s="20">
        <v>47541</v>
      </c>
      <c r="BA25" s="20">
        <f t="shared" si="14"/>
        <v>0</v>
      </c>
      <c r="BB25" s="20">
        <v>0</v>
      </c>
    </row>
    <row r="26" spans="1:54" ht="3" customHeight="1">
      <c r="A26" s="2"/>
      <c r="B26" s="3"/>
      <c r="C26" s="15"/>
      <c r="D26" s="15"/>
      <c r="E26" s="15"/>
      <c r="F26" s="15"/>
      <c r="G26" s="15"/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24"/>
      <c r="AH26" s="25"/>
      <c r="AI26" s="2"/>
      <c r="AK26" s="15"/>
      <c r="AL26" s="15"/>
      <c r="AM26" s="15"/>
      <c r="AN26" s="15"/>
      <c r="AO26" s="15"/>
      <c r="AP26" s="15"/>
      <c r="AQ26" s="13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ht="81" customHeight="1">
      <c r="A27" s="70" t="s">
        <v>5</v>
      </c>
      <c r="B27" s="71"/>
      <c r="C27" s="85">
        <f aca="true" t="shared" si="15" ref="C27:AF27">SUM(C3:C25)</f>
        <v>0</v>
      </c>
      <c r="D27" s="85">
        <f t="shared" si="15"/>
        <v>0</v>
      </c>
      <c r="E27" s="85">
        <f t="shared" si="15"/>
        <v>0</v>
      </c>
      <c r="F27" s="85">
        <f t="shared" si="15"/>
        <v>0</v>
      </c>
      <c r="G27" s="85">
        <f t="shared" si="15"/>
        <v>0</v>
      </c>
      <c r="H27" s="86"/>
      <c r="I27" s="85">
        <f t="shared" si="15"/>
        <v>0</v>
      </c>
      <c r="J27" s="85">
        <f t="shared" si="15"/>
        <v>0</v>
      </c>
      <c r="K27" s="85">
        <f t="shared" si="15"/>
        <v>0</v>
      </c>
      <c r="L27" s="85">
        <f t="shared" si="15"/>
        <v>0</v>
      </c>
      <c r="M27" s="85">
        <f t="shared" si="15"/>
        <v>0</v>
      </c>
      <c r="N27" s="85">
        <f t="shared" si="15"/>
        <v>0</v>
      </c>
      <c r="O27" s="85">
        <f t="shared" si="15"/>
        <v>177780</v>
      </c>
      <c r="P27" s="85">
        <f t="shared" si="15"/>
        <v>1352888.32</v>
      </c>
      <c r="Q27" s="85">
        <f t="shared" si="15"/>
        <v>241257.65</v>
      </c>
      <c r="R27" s="85">
        <f t="shared" si="15"/>
        <v>117180.65</v>
      </c>
      <c r="S27" s="85">
        <f t="shared" si="15"/>
        <v>326843.89</v>
      </c>
      <c r="T27" s="85">
        <f t="shared" si="15"/>
        <v>61375.119999999995</v>
      </c>
      <c r="U27" s="86"/>
      <c r="V27" s="85">
        <f t="shared" si="15"/>
        <v>254133.7</v>
      </c>
      <c r="W27" s="85">
        <f t="shared" si="15"/>
        <v>620380</v>
      </c>
      <c r="X27" s="85">
        <f t="shared" si="15"/>
        <v>396243.5</v>
      </c>
      <c r="Y27" s="85">
        <f t="shared" si="15"/>
        <v>659326.3200000001</v>
      </c>
      <c r="Z27" s="85">
        <f t="shared" si="15"/>
        <v>2289778.6399999997</v>
      </c>
      <c r="AA27" s="85">
        <f t="shared" si="15"/>
        <v>774485.84</v>
      </c>
      <c r="AB27" s="85">
        <f t="shared" si="15"/>
        <v>937738.72</v>
      </c>
      <c r="AC27" s="85">
        <f t="shared" si="15"/>
        <v>1547067.7</v>
      </c>
      <c r="AD27" s="85">
        <f t="shared" si="15"/>
        <v>165380.44999999998</v>
      </c>
      <c r="AE27" s="85">
        <f t="shared" si="15"/>
        <v>35290</v>
      </c>
      <c r="AF27" s="85">
        <f t="shared" si="15"/>
        <v>4750</v>
      </c>
      <c r="AG27" s="87">
        <f>SUM(AG3:AG25)-0.67</f>
        <v>24718.360000000823</v>
      </c>
      <c r="AH27" s="72"/>
      <c r="AI27" s="71"/>
      <c r="AK27" s="58">
        <f aca="true" t="shared" si="16" ref="AK27:AP27">SUM(AK3:AK25)</f>
        <v>177780</v>
      </c>
      <c r="AL27" s="58">
        <f t="shared" si="16"/>
        <v>1352888.32</v>
      </c>
      <c r="AM27" s="58">
        <f t="shared" si="16"/>
        <v>244907.65</v>
      </c>
      <c r="AN27" s="58">
        <f t="shared" si="16"/>
        <v>116530.65</v>
      </c>
      <c r="AO27" s="58">
        <f t="shared" si="16"/>
        <v>326193.89</v>
      </c>
      <c r="AP27" s="58">
        <f t="shared" si="16"/>
        <v>60825.119999999995</v>
      </c>
      <c r="AQ27" s="59"/>
      <c r="AR27" s="58">
        <f aca="true" t="shared" si="17" ref="AR27:BB27">SUM(AR3:AR25)</f>
        <v>253483.7</v>
      </c>
      <c r="AS27" s="58">
        <f t="shared" si="17"/>
        <v>619730</v>
      </c>
      <c r="AT27" s="58">
        <f t="shared" si="17"/>
        <v>395693.5</v>
      </c>
      <c r="AU27" s="58">
        <f t="shared" si="17"/>
        <v>658676.3200000001</v>
      </c>
      <c r="AV27" s="58">
        <f t="shared" si="17"/>
        <v>2289128.6399999997</v>
      </c>
      <c r="AW27" s="58">
        <f t="shared" si="17"/>
        <v>773933.84</v>
      </c>
      <c r="AX27" s="58">
        <f t="shared" si="17"/>
        <v>937088.72</v>
      </c>
      <c r="AY27" s="58">
        <f t="shared" si="17"/>
        <v>1546418.7</v>
      </c>
      <c r="AZ27" s="58">
        <f t="shared" si="17"/>
        <v>164830.44999999998</v>
      </c>
      <c r="BA27" s="58">
        <f t="shared" si="17"/>
        <v>61460</v>
      </c>
      <c r="BB27" s="58">
        <f t="shared" si="17"/>
        <v>7200</v>
      </c>
    </row>
    <row r="28" spans="1:54" ht="81" customHeight="1">
      <c r="A28" s="73" t="s">
        <v>16</v>
      </c>
      <c r="B28" s="74">
        <f>SUM(C28:AI28)</f>
        <v>9986618.860000001</v>
      </c>
      <c r="C28" s="95"/>
      <c r="D28" s="95"/>
      <c r="E28" s="95">
        <f>SUM(E27:G27)</f>
        <v>0</v>
      </c>
      <c r="F28" s="95"/>
      <c r="G28" s="95"/>
      <c r="H28" s="75"/>
      <c r="I28" s="95">
        <f>SUM(I27:K27)</f>
        <v>0</v>
      </c>
      <c r="J28" s="95"/>
      <c r="K28" s="95"/>
      <c r="L28" s="95">
        <f>SUM(L27:N27)</f>
        <v>0</v>
      </c>
      <c r="M28" s="95"/>
      <c r="N28" s="95"/>
      <c r="O28" s="95">
        <f>SUM(O27:Q27)</f>
        <v>1771925.97</v>
      </c>
      <c r="P28" s="95"/>
      <c r="Q28" s="95"/>
      <c r="R28" s="95">
        <f>SUM(R27:T27)</f>
        <v>505399.66000000003</v>
      </c>
      <c r="S28" s="95"/>
      <c r="T28" s="95"/>
      <c r="U28" s="75"/>
      <c r="V28" s="95">
        <f>SUM(V27:X27)</f>
        <v>1270757.2</v>
      </c>
      <c r="W28" s="95"/>
      <c r="X28" s="95"/>
      <c r="Y28" s="95">
        <f>SUM(Y27:AA27)</f>
        <v>3723590.8</v>
      </c>
      <c r="Z28" s="95"/>
      <c r="AA28" s="95"/>
      <c r="AB28" s="95">
        <f>SUM(AB27:AD27)</f>
        <v>2650186.87</v>
      </c>
      <c r="AC28" s="95"/>
      <c r="AD28" s="95"/>
      <c r="AE28" s="95">
        <f>SUM(AE27:AG27)</f>
        <v>64758.36000000082</v>
      </c>
      <c r="AF28" s="95"/>
      <c r="AG28" s="95"/>
      <c r="AH28" s="76"/>
      <c r="AI28" s="77"/>
      <c r="AK28" s="96">
        <f>SUM(AK27:AM27)</f>
        <v>1775575.97</v>
      </c>
      <c r="AL28" s="96"/>
      <c r="AM28" s="96"/>
      <c r="AN28" s="96">
        <f>SUM(AN27:AP27)</f>
        <v>503549.66000000003</v>
      </c>
      <c r="AO28" s="96"/>
      <c r="AP28" s="96"/>
      <c r="AQ28" s="60"/>
      <c r="AR28" s="96">
        <f>SUM(AR27:AT27)</f>
        <v>1268907.2</v>
      </c>
      <c r="AS28" s="96"/>
      <c r="AT28" s="96"/>
      <c r="AU28" s="96">
        <f>SUM(AU27:AW27)</f>
        <v>3721738.8</v>
      </c>
      <c r="AV28" s="96"/>
      <c r="AW28" s="96"/>
      <c r="AX28" s="96">
        <f>SUM(AX27:AZ27)</f>
        <v>2648337.87</v>
      </c>
      <c r="AY28" s="96"/>
      <c r="AZ28" s="96"/>
      <c r="BA28" s="96">
        <f>SUM(BA27:BB27)</f>
        <v>68660</v>
      </c>
      <c r="BB28" s="96"/>
    </row>
    <row r="29" spans="1:54" ht="21">
      <c r="A29" s="73"/>
      <c r="B29" s="74"/>
      <c r="C29" s="92"/>
      <c r="D29" s="93"/>
      <c r="E29" s="93"/>
      <c r="F29" s="93"/>
      <c r="G29" s="94"/>
      <c r="H29" s="75"/>
      <c r="I29" s="91">
        <f>SUM(I28:T28)</f>
        <v>2277325.63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75"/>
      <c r="V29" s="91">
        <f>SUM(V28:AG28)</f>
        <v>7709293.230000001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76"/>
      <c r="AI29" s="77"/>
      <c r="AK29" s="69"/>
      <c r="AL29" s="69"/>
      <c r="AM29" s="69"/>
      <c r="AN29" s="69"/>
      <c r="AO29" s="69"/>
      <c r="AP29" s="69"/>
      <c r="AQ29" s="60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</row>
    <row r="30" spans="1:54" ht="81" customHeight="1">
      <c r="A30" s="73" t="s">
        <v>25</v>
      </c>
      <c r="B30" s="78">
        <v>9120309</v>
      </c>
      <c r="C30" s="95"/>
      <c r="D30" s="95"/>
      <c r="E30" s="95">
        <f>SUM(E28:G28)</f>
        <v>0</v>
      </c>
      <c r="F30" s="95"/>
      <c r="G30" s="95"/>
      <c r="H30" s="75"/>
      <c r="I30" s="95">
        <f>SUM(I28:K28)</f>
        <v>0</v>
      </c>
      <c r="J30" s="95"/>
      <c r="K30" s="95"/>
      <c r="L30" s="95">
        <f>SUM(L28:N28)</f>
        <v>0</v>
      </c>
      <c r="M30" s="95"/>
      <c r="N30" s="95"/>
      <c r="O30" s="95">
        <f>$B$30/$B$28*O28</f>
        <v>1618216.5954338552</v>
      </c>
      <c r="P30" s="95"/>
      <c r="Q30" s="95"/>
      <c r="R30" s="95">
        <f>$B$30/$B$28*R28</f>
        <v>461557.72362127976</v>
      </c>
      <c r="S30" s="95"/>
      <c r="T30" s="95"/>
      <c r="U30" s="75"/>
      <c r="V30" s="95">
        <f>$B$30/$B$28*V28</f>
        <v>1160522.7445292529</v>
      </c>
      <c r="W30" s="95"/>
      <c r="X30" s="95"/>
      <c r="Y30" s="95">
        <f>$B$30/$B$28*Y28</f>
        <v>3400580.2325730487</v>
      </c>
      <c r="Z30" s="95"/>
      <c r="AA30" s="95"/>
      <c r="AB30" s="95">
        <f>$B$30/$B$28*AB28</f>
        <v>2420290.941407053</v>
      </c>
      <c r="AC30" s="95"/>
      <c r="AD30" s="95"/>
      <c r="AE30" s="95">
        <f>$B$30/$B$28*AE28</f>
        <v>59140.762435510376</v>
      </c>
      <c r="AF30" s="95"/>
      <c r="AG30" s="95"/>
      <c r="AH30" s="76"/>
      <c r="AI30" s="77"/>
      <c r="AK30" s="69"/>
      <c r="AL30" s="69"/>
      <c r="AM30" s="69"/>
      <c r="AN30" s="69"/>
      <c r="AO30" s="69"/>
      <c r="AP30" s="69"/>
      <c r="AQ30" s="60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</row>
    <row r="31" spans="1:54" ht="21">
      <c r="A31" s="73"/>
      <c r="B31" s="78"/>
      <c r="C31" s="92"/>
      <c r="D31" s="93"/>
      <c r="E31" s="93"/>
      <c r="F31" s="93"/>
      <c r="G31" s="94"/>
      <c r="H31" s="75"/>
      <c r="I31" s="91">
        <f>SUM(I30:T30)</f>
        <v>2079774.319055135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75"/>
      <c r="V31" s="91">
        <f>SUM(V30:AG30)</f>
        <v>7040534.680944866</v>
      </c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76"/>
      <c r="AI31" s="77"/>
      <c r="AK31" s="69"/>
      <c r="AL31" s="69"/>
      <c r="AM31" s="69"/>
      <c r="AN31" s="69"/>
      <c r="AO31" s="69"/>
      <c r="AP31" s="69"/>
      <c r="AQ31" s="60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</row>
    <row r="32" spans="1:43" ht="12.75" customHeigh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Q32" s="1"/>
    </row>
    <row r="33" spans="1:54" ht="81" customHeight="1">
      <c r="A33" s="79" t="s">
        <v>15</v>
      </c>
      <c r="B33" s="80">
        <f>B30*0.8006</f>
        <v>7301719.3854</v>
      </c>
      <c r="C33" s="101">
        <f>B33/B30</f>
        <v>0.8006</v>
      </c>
      <c r="D33" s="101"/>
      <c r="E33" s="81"/>
      <c r="F33" s="102">
        <f>B33/B28</f>
        <v>0.731150300993864</v>
      </c>
      <c r="G33" s="103"/>
      <c r="H33" s="82"/>
      <c r="I33" s="95">
        <f>E30*0.8006</f>
        <v>0</v>
      </c>
      <c r="J33" s="95"/>
      <c r="K33" s="95"/>
      <c r="L33" s="95">
        <f>I30*0.8006</f>
        <v>0</v>
      </c>
      <c r="M33" s="95"/>
      <c r="N33" s="95"/>
      <c r="O33" s="95">
        <f>L30*0.8006</f>
        <v>0</v>
      </c>
      <c r="P33" s="95"/>
      <c r="Q33" s="95"/>
      <c r="R33" s="97"/>
      <c r="S33" s="97"/>
      <c r="T33" s="97"/>
      <c r="U33" s="88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89"/>
      <c r="AI33" s="90"/>
      <c r="AK33" s="96">
        <f>AH28*0.8</f>
        <v>0</v>
      </c>
      <c r="AL33" s="96"/>
      <c r="AM33" s="96"/>
      <c r="AN33" s="96">
        <f>AK28*0.8</f>
        <v>1420460.776</v>
      </c>
      <c r="AO33" s="96"/>
      <c r="AP33" s="96"/>
      <c r="AQ33" s="61"/>
      <c r="AR33" s="96">
        <f>AN28*0.8</f>
        <v>402839.72800000006</v>
      </c>
      <c r="AS33" s="96"/>
      <c r="AT33" s="96"/>
      <c r="AU33" s="96">
        <f>AR28*0.8</f>
        <v>1015125.76</v>
      </c>
      <c r="AV33" s="96"/>
      <c r="AW33" s="96"/>
      <c r="AX33" s="96">
        <f>AU28*0.8</f>
        <v>2977391.04</v>
      </c>
      <c r="AY33" s="96"/>
      <c r="AZ33" s="96"/>
      <c r="BA33" s="106">
        <f>AX28*0.8</f>
        <v>2118670.296</v>
      </c>
      <c r="BB33" s="107"/>
    </row>
    <row r="34" spans="1:54" ht="81" customHeight="1">
      <c r="A34" s="79" t="s">
        <v>14</v>
      </c>
      <c r="B34" s="83">
        <f>B28-B33</f>
        <v>2684899.4746000012</v>
      </c>
      <c r="C34" s="104">
        <f>B34/B28</f>
        <v>0.268849699006136</v>
      </c>
      <c r="D34" s="104"/>
      <c r="E34" s="104"/>
      <c r="F34" s="104"/>
      <c r="G34" s="105"/>
      <c r="H34" s="82"/>
      <c r="I34" s="92">
        <f>SUM(I33:K33)</f>
        <v>0</v>
      </c>
      <c r="J34" s="93"/>
      <c r="K34" s="94"/>
      <c r="L34" s="95">
        <f>SUM(L33:N33)</f>
        <v>0</v>
      </c>
      <c r="M34" s="95"/>
      <c r="N34" s="95"/>
      <c r="O34" s="95">
        <v>0</v>
      </c>
      <c r="P34" s="95"/>
      <c r="Q34" s="95"/>
      <c r="R34" s="97"/>
      <c r="S34" s="97"/>
      <c r="T34" s="97"/>
      <c r="U34" s="88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89"/>
      <c r="AI34" s="90"/>
      <c r="AK34" s="96">
        <v>0</v>
      </c>
      <c r="AL34" s="96"/>
      <c r="AM34" s="96"/>
      <c r="AN34" s="96">
        <f>AK28-AN33</f>
        <v>355115.1939999999</v>
      </c>
      <c r="AO34" s="96"/>
      <c r="AP34" s="96"/>
      <c r="AQ34" s="61"/>
      <c r="AR34" s="96">
        <f>AN28-AR33</f>
        <v>100709.93199999997</v>
      </c>
      <c r="AS34" s="96"/>
      <c r="AT34" s="96"/>
      <c r="AU34" s="96">
        <f>AR28-AU33</f>
        <v>253781.43999999994</v>
      </c>
      <c r="AV34" s="96"/>
      <c r="AW34" s="96"/>
      <c r="AX34" s="96">
        <f>AU28-AX33</f>
        <v>744347.7599999998</v>
      </c>
      <c r="AY34" s="96"/>
      <c r="AZ34" s="96"/>
      <c r="BA34" s="96">
        <f>AX28-BA33</f>
        <v>529667.574</v>
      </c>
      <c r="BB34" s="96"/>
    </row>
    <row r="35" ht="49.5" customHeight="1"/>
  </sheetData>
  <sheetProtection/>
  <mergeCells count="70">
    <mergeCell ref="B1:AI1"/>
    <mergeCell ref="A2:B2"/>
    <mergeCell ref="V28:X28"/>
    <mergeCell ref="Y28:AA28"/>
    <mergeCell ref="AB28:AD28"/>
    <mergeCell ref="AE28:AG28"/>
    <mergeCell ref="L28:N28"/>
    <mergeCell ref="A3:B3"/>
    <mergeCell ref="A8:B8"/>
    <mergeCell ref="O28:Q28"/>
    <mergeCell ref="E28:G28"/>
    <mergeCell ref="C28:D28"/>
    <mergeCell ref="A12:B12"/>
    <mergeCell ref="A17:B17"/>
    <mergeCell ref="C30:D30"/>
    <mergeCell ref="E30:G30"/>
    <mergeCell ref="R28:T28"/>
    <mergeCell ref="I28:K28"/>
    <mergeCell ref="I30:K30"/>
    <mergeCell ref="O30:Q30"/>
    <mergeCell ref="R30:T30"/>
    <mergeCell ref="V30:X30"/>
    <mergeCell ref="I33:K33"/>
    <mergeCell ref="L33:N33"/>
    <mergeCell ref="O33:Q33"/>
    <mergeCell ref="R33:T33"/>
    <mergeCell ref="V33:X33"/>
    <mergeCell ref="Y33:AA33"/>
    <mergeCell ref="I34:K34"/>
    <mergeCell ref="L34:N34"/>
    <mergeCell ref="O34:Q34"/>
    <mergeCell ref="R34:T34"/>
    <mergeCell ref="V34:X34"/>
    <mergeCell ref="Y34:AA34"/>
    <mergeCell ref="BA33:BB33"/>
    <mergeCell ref="AK28:AM28"/>
    <mergeCell ref="AN28:AP28"/>
    <mergeCell ref="AR28:AT28"/>
    <mergeCell ref="AU28:AW28"/>
    <mergeCell ref="AX28:AZ28"/>
    <mergeCell ref="BA28:BB28"/>
    <mergeCell ref="AN34:AP34"/>
    <mergeCell ref="AR34:AT34"/>
    <mergeCell ref="AU34:AW34"/>
    <mergeCell ref="AX34:AZ34"/>
    <mergeCell ref="BA34:BB34"/>
    <mergeCell ref="AK33:AM33"/>
    <mergeCell ref="AN33:AP33"/>
    <mergeCell ref="AR33:AT33"/>
    <mergeCell ref="AU33:AW33"/>
    <mergeCell ref="AX33:AZ33"/>
    <mergeCell ref="AK34:AM34"/>
    <mergeCell ref="AB34:AD34"/>
    <mergeCell ref="AE34:AG34"/>
    <mergeCell ref="A32:AI32"/>
    <mergeCell ref="AB33:AD33"/>
    <mergeCell ref="AE30:AG30"/>
    <mergeCell ref="C33:D33"/>
    <mergeCell ref="F33:G33"/>
    <mergeCell ref="AE33:AG33"/>
    <mergeCell ref="C34:G34"/>
    <mergeCell ref="I31:T31"/>
    <mergeCell ref="V31:AG31"/>
    <mergeCell ref="I29:T29"/>
    <mergeCell ref="V29:AG29"/>
    <mergeCell ref="C29:G29"/>
    <mergeCell ref="C31:G31"/>
    <mergeCell ref="L30:N30"/>
    <mergeCell ref="Y30:AA30"/>
    <mergeCell ref="AB30:AD30"/>
  </mergeCells>
  <printOptions horizontalCentered="1" verticalCentered="1"/>
  <pageMargins left="0.2755905511811024" right="0.1968503937007874" top="0.1968503937007874" bottom="0.1968503937007874" header="0.15748031496062992" footer="0.15748031496062992"/>
  <pageSetup fitToHeight="1" fitToWidth="1" horizontalDpi="600" verticalDpi="600" orientation="portrait" paperSize="9" scale="66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pruska</dc:creator>
  <cp:keywords/>
  <dc:description/>
  <cp:lastModifiedBy>Pruška</cp:lastModifiedBy>
  <cp:lastPrinted>2009-08-12T05:34:25Z</cp:lastPrinted>
  <dcterms:created xsi:type="dcterms:W3CDTF">2008-02-19T14:40:23Z</dcterms:created>
  <dcterms:modified xsi:type="dcterms:W3CDTF">2010-04-25T06:24:00Z</dcterms:modified>
  <cp:category/>
  <cp:version/>
  <cp:contentType/>
  <cp:contentStatus/>
</cp:coreProperties>
</file>