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06" windowWidth="15480" windowHeight="49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<sst xmlns="http://schemas.openxmlformats.org/spreadsheetml/2006/main" count="23" uniqueCount="23">
  <si>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Publicita a propagace</t>
  </si>
  <si>
    <t>Realizace stavby</t>
  </si>
  <si>
    <t>Dokumentace pro VŘ</t>
  </si>
  <si>
    <t xml:space="preserve">VŘ na zhotovitele </t>
  </si>
  <si>
    <t xml:space="preserve">Autorský dozor </t>
  </si>
  <si>
    <t>TDI</t>
  </si>
  <si>
    <t>Dok. pro provedení stavby</t>
  </si>
  <si>
    <t>Monitorovací zprávy</t>
  </si>
  <si>
    <t>Příprava stavby</t>
  </si>
  <si>
    <t>Inženýring stavby</t>
  </si>
  <si>
    <t>Kvartální součty</t>
  </si>
  <si>
    <t>Měsíční součty</t>
  </si>
  <si>
    <t>Roční součty</t>
  </si>
  <si>
    <t>SOUČET CELKEM</t>
  </si>
  <si>
    <t>INFORMAČNÍ CENTRUM</t>
  </si>
  <si>
    <t>KNIHOVNA</t>
  </si>
  <si>
    <t>KOMUNITNÍ CENTRUM</t>
  </si>
  <si>
    <t>CENTRUM VÝUKY</t>
  </si>
  <si>
    <t>SPOLEČNÉ ČÁSTI</t>
  </si>
  <si>
    <t>ELEKTROCENTRÁLA,
SKLADY</t>
  </si>
  <si>
    <t>Dokumentace pro SP</t>
  </si>
  <si>
    <t>HARMONOGRAM : MULTIFUNKČNÍ DŮM - KULTURNÍ A SPOLEČENSKÉ CENTRUM</t>
  </si>
  <si>
    <t>ke dni žádosti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</si>
</sst>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#,##0.00\ &quot;Kč&quot;"/>
    <numFmt numFmtId="167" formatCode="0.0"/>
    <numFmt numFmtId="168" formatCode="[$-405]mmmm\ yy;@"/>
    <numFmt numFmtId="169" formatCode="#,##0_ ;\-#,##0\ "/>
  </numFmts>
  <fonts count="41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 textRotation="90"/>
    </xf>
    <xf numFmtId="0" fontId="3" fillId="33" borderId="10" xfId="0" applyFont="1" applyFill="1" applyBorder="1" applyAlignment="1">
      <alignment vertical="center" textRotation="90"/>
    </xf>
    <xf numFmtId="0" fontId="3" fillId="34" borderId="10" xfId="0" applyFont="1" applyFill="1" applyBorder="1" applyAlignment="1">
      <alignment vertical="center" textRotation="90"/>
    </xf>
    <xf numFmtId="0" fontId="3" fillId="35" borderId="10" xfId="0" applyFont="1" applyFill="1" applyBorder="1" applyAlignment="1">
      <alignment vertical="center" textRotation="9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 textRotation="90"/>
    </xf>
    <xf numFmtId="3" fontId="3" fillId="35" borderId="10" xfId="0" applyNumberFormat="1" applyFont="1" applyFill="1" applyBorder="1" applyAlignment="1">
      <alignment vertical="center" textRotation="90"/>
    </xf>
    <xf numFmtId="168" fontId="3" fillId="0" borderId="10" xfId="0" applyNumberFormat="1" applyFont="1" applyBorder="1" applyAlignment="1">
      <alignment horizontal="center" vertical="center" textRotation="90"/>
    </xf>
    <xf numFmtId="168" fontId="3" fillId="0" borderId="10" xfId="0" applyNumberFormat="1" applyFont="1" applyBorder="1" applyAlignment="1">
      <alignment vertical="center" textRotation="90"/>
    </xf>
    <xf numFmtId="3" fontId="3" fillId="33" borderId="10" xfId="0" applyNumberFormat="1" applyFont="1" applyFill="1" applyBorder="1" applyAlignment="1">
      <alignment horizontal="center" vertical="center" textRotation="90"/>
    </xf>
    <xf numFmtId="3" fontId="3" fillId="0" borderId="10" xfId="0" applyNumberFormat="1" applyFont="1" applyBorder="1" applyAlignment="1">
      <alignment vertical="center"/>
    </xf>
    <xf numFmtId="3" fontId="3" fillId="36" borderId="10" xfId="0" applyNumberFormat="1" applyFont="1" applyFill="1" applyBorder="1" applyAlignment="1">
      <alignment horizontal="center" vertical="center" textRotation="90"/>
    </xf>
    <xf numFmtId="3" fontId="3" fillId="0" borderId="10" xfId="0" applyNumberFormat="1" applyFont="1" applyFill="1" applyBorder="1" applyAlignment="1">
      <alignment vertical="center" textRotation="90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 textRotation="90"/>
    </xf>
    <xf numFmtId="1" fontId="3" fillId="34" borderId="10" xfId="0" applyNumberFormat="1" applyFont="1" applyFill="1" applyBorder="1" applyAlignment="1">
      <alignment vertical="center" textRotation="90"/>
    </xf>
    <xf numFmtId="1" fontId="3" fillId="33" borderId="10" xfId="0" applyNumberFormat="1" applyFont="1" applyFill="1" applyBorder="1" applyAlignment="1">
      <alignment vertical="center" textRotation="90"/>
    </xf>
    <xf numFmtId="3" fontId="3" fillId="37" borderId="10" xfId="0" applyNumberFormat="1" applyFont="1" applyFill="1" applyBorder="1" applyAlignment="1">
      <alignment horizontal="center" vertical="center" textRotation="90"/>
    </xf>
    <xf numFmtId="3" fontId="6" fillId="37" borderId="10" xfId="0" applyNumberFormat="1" applyFont="1" applyFill="1" applyBorder="1" applyAlignment="1">
      <alignment horizontal="center" vertical="center" textRotation="90"/>
    </xf>
    <xf numFmtId="1" fontId="3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ill="1" applyBorder="1" applyAlignment="1">
      <alignment horizontal="center" vertical="center" textRotation="90"/>
    </xf>
    <xf numFmtId="169" fontId="4" fillId="0" borderId="11" xfId="38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10" xfId="0" applyNumberFormat="1" applyBorder="1" applyAlignment="1">
      <alignment horizontal="center" vertical="top" textRotation="90"/>
    </xf>
    <xf numFmtId="3" fontId="3" fillId="0" borderId="10" xfId="0" applyNumberFormat="1" applyFont="1" applyFill="1" applyBorder="1" applyAlignment="1">
      <alignment horizontal="center" vertical="center" textRotation="90"/>
    </xf>
    <xf numFmtId="3" fontId="0" fillId="13" borderId="10" xfId="0" applyNumberFormat="1" applyFill="1" applyBorder="1" applyAlignment="1">
      <alignment horizontal="center" vertical="center" textRotation="90"/>
    </xf>
    <xf numFmtId="1" fontId="3" fillId="6" borderId="10" xfId="0" applyNumberFormat="1" applyFont="1" applyFill="1" applyBorder="1" applyAlignment="1">
      <alignment horizontal="center" vertical="center" textRotation="90"/>
    </xf>
    <xf numFmtId="1" fontId="3" fillId="3" borderId="10" xfId="0" applyNumberFormat="1" applyFont="1" applyFill="1" applyBorder="1" applyAlignment="1">
      <alignment horizontal="center" vertical="center" textRotation="90"/>
    </xf>
    <xf numFmtId="3" fontId="0" fillId="0" borderId="11" xfId="0" applyNumberFormat="1" applyBorder="1" applyAlignment="1">
      <alignment horizontal="right" vertical="center" textRotation="90"/>
    </xf>
    <xf numFmtId="0" fontId="5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 textRotation="90"/>
    </xf>
    <xf numFmtId="44" fontId="5" fillId="0" borderId="11" xfId="0" applyNumberFormat="1" applyFont="1" applyBorder="1" applyAlignment="1">
      <alignment vertical="center"/>
    </xf>
    <xf numFmtId="44" fontId="5" fillId="0" borderId="13" xfId="0" applyNumberFormat="1" applyFont="1" applyBorder="1" applyAlignment="1">
      <alignment vertical="center"/>
    </xf>
    <xf numFmtId="44" fontId="5" fillId="0" borderId="14" xfId="0" applyNumberFormat="1" applyFont="1" applyBorder="1" applyAlignment="1">
      <alignment vertical="center"/>
    </xf>
    <xf numFmtId="3" fontId="0" fillId="0" borderId="11" xfId="0" applyNumberFormat="1" applyBorder="1" applyAlignment="1">
      <alignment horizontal="right" vertical="center" textRotation="90"/>
    </xf>
    <xf numFmtId="3" fontId="0" fillId="0" borderId="13" xfId="0" applyNumberFormat="1" applyBorder="1" applyAlignment="1">
      <alignment horizontal="right" vertical="center" textRotation="90"/>
    </xf>
    <xf numFmtId="3" fontId="0" fillId="0" borderId="14" xfId="0" applyNumberFormat="1" applyBorder="1" applyAlignment="1">
      <alignment horizontal="right" vertical="center" textRotation="90"/>
    </xf>
    <xf numFmtId="169" fontId="4" fillId="0" borderId="13" xfId="38" applyNumberFormat="1" applyFont="1" applyBorder="1" applyAlignment="1">
      <alignment vertical="center"/>
    </xf>
    <xf numFmtId="169" fontId="4" fillId="0" borderId="14" xfId="38" applyNumberFormat="1" applyFont="1" applyBorder="1" applyAlignment="1">
      <alignment vertical="center"/>
    </xf>
    <xf numFmtId="169" fontId="4" fillId="0" borderId="11" xfId="38" applyNumberFormat="1" applyFont="1" applyBorder="1" applyAlignment="1">
      <alignment vertical="center"/>
    </xf>
    <xf numFmtId="168" fontId="3" fillId="38" borderId="10" xfId="0" applyNumberFormat="1" applyFont="1" applyFill="1" applyBorder="1" applyAlignment="1">
      <alignment horizontal="center" vertical="center" textRotation="90"/>
    </xf>
    <xf numFmtId="3" fontId="2" fillId="38" borderId="10" xfId="0" applyNumberFormat="1" applyFont="1" applyFill="1" applyBorder="1" applyAlignment="1">
      <alignment vertical="center"/>
    </xf>
    <xf numFmtId="3" fontId="3" fillId="38" borderId="10" xfId="0" applyNumberFormat="1" applyFont="1" applyFill="1" applyBorder="1" applyAlignment="1">
      <alignment vertical="center"/>
    </xf>
    <xf numFmtId="3" fontId="3" fillId="38" borderId="10" xfId="0" applyNumberFormat="1" applyFont="1" applyFill="1" applyBorder="1" applyAlignment="1">
      <alignment horizontal="center" vertical="center" textRotation="90"/>
    </xf>
    <xf numFmtId="3" fontId="0" fillId="38" borderId="10" xfId="0" applyNumberFormat="1" applyFill="1" applyBorder="1" applyAlignment="1">
      <alignment vertical="center"/>
    </xf>
    <xf numFmtId="1" fontId="0" fillId="38" borderId="10" xfId="0" applyNumberFormat="1" applyFill="1" applyBorder="1" applyAlignment="1">
      <alignment horizontal="center" vertical="center" textRotation="90"/>
    </xf>
    <xf numFmtId="3" fontId="0" fillId="38" borderId="0" xfId="0" applyNumberFormat="1" applyFill="1" applyAlignment="1">
      <alignment vertical="center"/>
    </xf>
    <xf numFmtId="3" fontId="0" fillId="38" borderId="10" xfId="0" applyNumberFormat="1" applyFill="1" applyBorder="1" applyAlignment="1">
      <alignment horizontal="center" vertical="top" textRotation="90"/>
    </xf>
    <xf numFmtId="3" fontId="0" fillId="38" borderId="13" xfId="0" applyNumberFormat="1" applyFill="1" applyBorder="1" applyAlignment="1">
      <alignment horizontal="right" vertical="center" textRotation="90"/>
    </xf>
    <xf numFmtId="169" fontId="4" fillId="38" borderId="13" xfId="38" applyNumberFormat="1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8"/>
  <sheetViews>
    <sheetView tabSelected="1" zoomScalePageLayoutView="0" workbookViewId="0" topLeftCell="A1">
      <pane xSplit="2" ySplit="2" topLeftCell="C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K7" sqref="AK7"/>
    </sheetView>
  </sheetViews>
  <sheetFormatPr defaultColWidth="9.140625" defaultRowHeight="15"/>
  <cols>
    <col min="1" max="1" width="24.421875" style="1" bestFit="1" customWidth="1"/>
    <col min="2" max="2" width="9.8515625" style="6" bestFit="1" customWidth="1"/>
    <col min="3" max="9" width="3.28125" style="6" customWidth="1"/>
    <col min="10" max="10" width="0.71875" style="6" customWidth="1"/>
    <col min="11" max="11" width="3.28125" style="6" customWidth="1"/>
    <col min="12" max="22" width="3.28125" style="1" customWidth="1"/>
    <col min="23" max="23" width="0.71875" style="1" customWidth="1"/>
    <col min="24" max="35" width="3.28125" style="1" customWidth="1"/>
    <col min="36" max="16384" width="9.140625" style="1" customWidth="1"/>
  </cols>
  <sheetData>
    <row r="1" spans="1:35" ht="50.25" customHeight="1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35" ht="63.75" customHeight="1">
      <c r="A2" s="37" t="s">
        <v>22</v>
      </c>
      <c r="B2" s="5"/>
      <c r="C2" s="14">
        <v>39600</v>
      </c>
      <c r="D2" s="14">
        <v>39630</v>
      </c>
      <c r="E2" s="14">
        <v>39661</v>
      </c>
      <c r="F2" s="14">
        <v>39692</v>
      </c>
      <c r="G2" s="14">
        <v>39722</v>
      </c>
      <c r="H2" s="14">
        <v>39753</v>
      </c>
      <c r="I2" s="14">
        <v>39783</v>
      </c>
      <c r="J2" s="49"/>
      <c r="K2" s="14">
        <v>39814</v>
      </c>
      <c r="L2" s="14">
        <v>39845</v>
      </c>
      <c r="M2" s="14">
        <v>39873</v>
      </c>
      <c r="N2" s="14">
        <v>39904</v>
      </c>
      <c r="O2" s="14">
        <v>39934</v>
      </c>
      <c r="P2" s="14">
        <v>39965</v>
      </c>
      <c r="Q2" s="15">
        <v>39995</v>
      </c>
      <c r="R2" s="15">
        <v>40026</v>
      </c>
      <c r="S2" s="15">
        <v>40057</v>
      </c>
      <c r="T2" s="15">
        <v>40087</v>
      </c>
      <c r="U2" s="15">
        <v>40118</v>
      </c>
      <c r="V2" s="15">
        <v>40148</v>
      </c>
      <c r="W2" s="49"/>
      <c r="X2" s="15">
        <v>40179</v>
      </c>
      <c r="Y2" s="15">
        <v>40210</v>
      </c>
      <c r="Z2" s="15">
        <v>40238</v>
      </c>
      <c r="AA2" s="15">
        <v>40269</v>
      </c>
      <c r="AB2" s="15">
        <v>40299</v>
      </c>
      <c r="AC2" s="15">
        <v>40330</v>
      </c>
      <c r="AD2" s="15">
        <v>40360</v>
      </c>
      <c r="AE2" s="15">
        <v>40391</v>
      </c>
      <c r="AF2" s="15">
        <v>40422</v>
      </c>
      <c r="AG2" s="15">
        <v>40452</v>
      </c>
      <c r="AH2" s="15">
        <v>40483</v>
      </c>
      <c r="AI2" s="15">
        <v>40513</v>
      </c>
    </row>
    <row r="3" spans="1:35" ht="18.75">
      <c r="A3" s="3" t="s">
        <v>8</v>
      </c>
      <c r="B3" s="4"/>
      <c r="C3" s="4"/>
      <c r="D3" s="4"/>
      <c r="E3" s="4"/>
      <c r="F3" s="4"/>
      <c r="G3" s="4"/>
      <c r="H3" s="4"/>
      <c r="I3" s="4"/>
      <c r="J3" s="50"/>
      <c r="K3" s="4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5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51" customHeight="1">
      <c r="A4" s="2" t="s">
        <v>20</v>
      </c>
      <c r="B4" s="5">
        <v>611660</v>
      </c>
      <c r="C4" s="33">
        <v>611660</v>
      </c>
      <c r="D4" s="5"/>
      <c r="E4" s="5"/>
      <c r="F4" s="5"/>
      <c r="G4" s="32"/>
      <c r="H4" s="17"/>
      <c r="I4" s="17"/>
      <c r="J4" s="51"/>
      <c r="K4" s="17"/>
      <c r="L4" s="12"/>
      <c r="M4" s="12"/>
      <c r="N4" s="12"/>
      <c r="O4" s="12"/>
      <c r="P4" s="12"/>
      <c r="Q4" s="7"/>
      <c r="R4" s="7"/>
      <c r="S4" s="7"/>
      <c r="T4" s="7"/>
      <c r="U4" s="7"/>
      <c r="V4" s="7"/>
      <c r="W4" s="51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33.75">
      <c r="A5" s="2" t="s">
        <v>2</v>
      </c>
      <c r="B5" s="5">
        <v>30940</v>
      </c>
      <c r="C5" s="5"/>
      <c r="D5" s="5"/>
      <c r="E5" s="5"/>
      <c r="F5" s="5"/>
      <c r="G5" s="16">
        <v>30940</v>
      </c>
      <c r="H5" s="17"/>
      <c r="I5" s="17"/>
      <c r="J5" s="51"/>
      <c r="K5" s="17"/>
      <c r="L5" s="12"/>
      <c r="M5" s="12"/>
      <c r="N5" s="12"/>
      <c r="O5" s="12"/>
      <c r="P5" s="12"/>
      <c r="Q5" s="7"/>
      <c r="R5" s="7"/>
      <c r="S5" s="7"/>
      <c r="T5" s="7"/>
      <c r="U5" s="7"/>
      <c r="V5" s="7"/>
      <c r="W5" s="51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33.75">
      <c r="A6" s="2" t="s">
        <v>3</v>
      </c>
      <c r="B6" s="5">
        <v>118700</v>
      </c>
      <c r="C6" s="5"/>
      <c r="D6" s="5"/>
      <c r="E6" s="5"/>
      <c r="F6" s="5"/>
      <c r="G6" s="18">
        <f>B6/4</f>
        <v>29675</v>
      </c>
      <c r="H6" s="18">
        <v>29675</v>
      </c>
      <c r="I6" s="18">
        <v>29675</v>
      </c>
      <c r="J6" s="52"/>
      <c r="K6" s="18">
        <v>29675</v>
      </c>
      <c r="L6" s="7"/>
      <c r="M6" s="7"/>
      <c r="N6" s="12"/>
      <c r="O6" s="12"/>
      <c r="P6" s="12"/>
      <c r="Q6" s="7"/>
      <c r="R6" s="7"/>
      <c r="S6" s="7"/>
      <c r="T6" s="7"/>
      <c r="U6" s="7"/>
      <c r="V6" s="7"/>
      <c r="W6" s="52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3" customHeight="1">
      <c r="A7" s="2"/>
      <c r="B7" s="5"/>
      <c r="C7" s="5"/>
      <c r="D7" s="5"/>
      <c r="E7" s="5"/>
      <c r="F7" s="5"/>
      <c r="G7" s="5"/>
      <c r="H7" s="5"/>
      <c r="I7" s="5"/>
      <c r="J7" s="53"/>
      <c r="K7" s="5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3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8.75">
      <c r="A8" s="3" t="s">
        <v>9</v>
      </c>
      <c r="B8" s="4"/>
      <c r="C8" s="4"/>
      <c r="D8" s="4"/>
      <c r="E8" s="4"/>
      <c r="F8" s="4"/>
      <c r="G8" s="4"/>
      <c r="H8" s="4"/>
      <c r="I8" s="4"/>
      <c r="J8" s="50"/>
      <c r="K8" s="4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50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6.25">
      <c r="A9" s="2" t="s">
        <v>4</v>
      </c>
      <c r="B9" s="5">
        <v>189920</v>
      </c>
      <c r="C9" s="5"/>
      <c r="D9" s="5"/>
      <c r="E9" s="5"/>
      <c r="F9" s="5"/>
      <c r="G9" s="5"/>
      <c r="H9" s="5"/>
      <c r="I9" s="5"/>
      <c r="J9" s="53"/>
      <c r="K9" s="12"/>
      <c r="L9" s="8">
        <v>9044</v>
      </c>
      <c r="M9" s="8">
        <v>9044</v>
      </c>
      <c r="N9" s="8">
        <v>9044</v>
      </c>
      <c r="O9" s="8">
        <v>9044</v>
      </c>
      <c r="P9" s="8">
        <v>9044</v>
      </c>
      <c r="Q9" s="8">
        <v>9044</v>
      </c>
      <c r="R9" s="8">
        <v>9044</v>
      </c>
      <c r="S9" s="8">
        <v>9044</v>
      </c>
      <c r="T9" s="8">
        <v>9044</v>
      </c>
      <c r="U9" s="8">
        <v>9044</v>
      </c>
      <c r="V9" s="8">
        <v>9044</v>
      </c>
      <c r="W9" s="53"/>
      <c r="X9" s="8">
        <v>9044</v>
      </c>
      <c r="Y9" s="8">
        <v>9044</v>
      </c>
      <c r="Z9" s="8">
        <v>9044</v>
      </c>
      <c r="AA9" s="8">
        <v>9044</v>
      </c>
      <c r="AB9" s="8">
        <v>9044</v>
      </c>
      <c r="AC9" s="8">
        <v>9044</v>
      </c>
      <c r="AD9" s="8">
        <v>9044</v>
      </c>
      <c r="AE9" s="8">
        <v>9044</v>
      </c>
      <c r="AF9" s="8">
        <v>9044</v>
      </c>
      <c r="AG9" s="23">
        <f>B9-SUM(L9:AF9)</f>
        <v>9040</v>
      </c>
      <c r="AH9" s="12"/>
      <c r="AI9" s="19"/>
    </row>
    <row r="10" spans="1:35" ht="31.5">
      <c r="A10" s="2" t="s">
        <v>5</v>
      </c>
      <c r="B10" s="5">
        <v>427319</v>
      </c>
      <c r="C10" s="5"/>
      <c r="D10" s="5"/>
      <c r="E10" s="5"/>
      <c r="F10" s="5"/>
      <c r="G10" s="5"/>
      <c r="H10" s="5"/>
      <c r="I10" s="5"/>
      <c r="J10" s="53"/>
      <c r="K10" s="21"/>
      <c r="L10" s="9">
        <v>20349</v>
      </c>
      <c r="M10" s="9">
        <v>20349</v>
      </c>
      <c r="N10" s="9">
        <v>20349</v>
      </c>
      <c r="O10" s="9">
        <v>20349</v>
      </c>
      <c r="P10" s="9">
        <v>20349</v>
      </c>
      <c r="Q10" s="9">
        <v>20349</v>
      </c>
      <c r="R10" s="9">
        <v>20349</v>
      </c>
      <c r="S10" s="9">
        <v>20349</v>
      </c>
      <c r="T10" s="9">
        <v>20349</v>
      </c>
      <c r="U10" s="9">
        <v>20349</v>
      </c>
      <c r="V10" s="9">
        <v>20349</v>
      </c>
      <c r="W10" s="53"/>
      <c r="X10" s="9">
        <v>20349</v>
      </c>
      <c r="Y10" s="9">
        <v>20349</v>
      </c>
      <c r="Z10" s="9">
        <v>20349</v>
      </c>
      <c r="AA10" s="9">
        <v>20349</v>
      </c>
      <c r="AB10" s="9">
        <v>20349</v>
      </c>
      <c r="AC10" s="9">
        <v>20349</v>
      </c>
      <c r="AD10" s="9">
        <v>20349</v>
      </c>
      <c r="AE10" s="9">
        <v>20349</v>
      </c>
      <c r="AF10" s="9">
        <v>20349</v>
      </c>
      <c r="AG10" s="22">
        <f>B10-SUM(L10:AF10)</f>
        <v>20339</v>
      </c>
      <c r="AH10" s="12"/>
      <c r="AI10" s="12"/>
    </row>
    <row r="11" spans="1:35" ht="39">
      <c r="A11" s="2" t="s">
        <v>7</v>
      </c>
      <c r="B11" s="5">
        <v>460906</v>
      </c>
      <c r="C11" s="5"/>
      <c r="D11" s="5"/>
      <c r="E11" s="5"/>
      <c r="F11" s="5"/>
      <c r="G11" s="24">
        <v>120000</v>
      </c>
      <c r="H11" s="5"/>
      <c r="I11" s="5"/>
      <c r="J11" s="53"/>
      <c r="K11" s="25">
        <v>14822</v>
      </c>
      <c r="L11" s="25">
        <v>14822</v>
      </c>
      <c r="M11" s="25">
        <v>14822</v>
      </c>
      <c r="N11" s="25">
        <v>14822</v>
      </c>
      <c r="O11" s="25">
        <v>14822</v>
      </c>
      <c r="P11" s="25">
        <v>14822</v>
      </c>
      <c r="Q11" s="25">
        <v>14822</v>
      </c>
      <c r="R11" s="25">
        <v>14822</v>
      </c>
      <c r="S11" s="25">
        <v>14822</v>
      </c>
      <c r="T11" s="25">
        <v>14822</v>
      </c>
      <c r="U11" s="25">
        <v>14822</v>
      </c>
      <c r="V11" s="25">
        <v>14822</v>
      </c>
      <c r="W11" s="53"/>
      <c r="X11" s="25">
        <v>14822</v>
      </c>
      <c r="Y11" s="25">
        <v>14822</v>
      </c>
      <c r="Z11" s="25">
        <v>14822</v>
      </c>
      <c r="AA11" s="25">
        <v>14822</v>
      </c>
      <c r="AB11" s="25">
        <v>14822</v>
      </c>
      <c r="AC11" s="25">
        <v>14822</v>
      </c>
      <c r="AD11" s="25">
        <v>14822</v>
      </c>
      <c r="AE11" s="25">
        <v>14822</v>
      </c>
      <c r="AF11" s="25">
        <v>14822</v>
      </c>
      <c r="AG11" s="25">
        <v>14822</v>
      </c>
      <c r="AH11" s="25">
        <f>B11-G11-SUM(K11:AG11)</f>
        <v>14822</v>
      </c>
      <c r="AI11" s="19"/>
    </row>
    <row r="12" spans="1:35" ht="3" customHeight="1">
      <c r="A12" s="2"/>
      <c r="B12" s="5"/>
      <c r="C12" s="5"/>
      <c r="D12" s="5"/>
      <c r="E12" s="5"/>
      <c r="F12" s="5"/>
      <c r="G12" s="5"/>
      <c r="H12" s="5"/>
      <c r="I12" s="5"/>
      <c r="J12" s="53"/>
      <c r="K12" s="5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3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8.75">
      <c r="A13" s="3" t="s">
        <v>1</v>
      </c>
      <c r="B13" s="4"/>
      <c r="C13" s="4"/>
      <c r="D13" s="4"/>
      <c r="E13" s="4"/>
      <c r="F13" s="4"/>
      <c r="G13" s="4"/>
      <c r="H13" s="4"/>
      <c r="I13" s="4"/>
      <c r="J13" s="50"/>
      <c r="K13" s="4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0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31.5">
      <c r="A14" s="2" t="s">
        <v>6</v>
      </c>
      <c r="B14" s="5">
        <v>427319</v>
      </c>
      <c r="C14" s="5"/>
      <c r="D14" s="5"/>
      <c r="E14" s="5"/>
      <c r="F14" s="5"/>
      <c r="G14" s="5"/>
      <c r="H14" s="5"/>
      <c r="I14" s="5"/>
      <c r="J14" s="53"/>
      <c r="K14" s="20"/>
      <c r="L14" s="9">
        <v>20349</v>
      </c>
      <c r="M14" s="9">
        <v>20349</v>
      </c>
      <c r="N14" s="9">
        <v>20349</v>
      </c>
      <c r="O14" s="9">
        <v>20349</v>
      </c>
      <c r="P14" s="9">
        <v>20349</v>
      </c>
      <c r="Q14" s="9">
        <v>20349</v>
      </c>
      <c r="R14" s="9">
        <v>20349</v>
      </c>
      <c r="S14" s="9">
        <v>20349</v>
      </c>
      <c r="T14" s="9">
        <v>20349</v>
      </c>
      <c r="U14" s="9">
        <v>20349</v>
      </c>
      <c r="V14" s="9">
        <v>20349</v>
      </c>
      <c r="W14" s="53"/>
      <c r="X14" s="9">
        <v>20349</v>
      </c>
      <c r="Y14" s="9">
        <v>20349</v>
      </c>
      <c r="Z14" s="9">
        <v>20349</v>
      </c>
      <c r="AA14" s="9">
        <v>20349</v>
      </c>
      <c r="AB14" s="9">
        <v>20349</v>
      </c>
      <c r="AC14" s="9">
        <v>20349</v>
      </c>
      <c r="AD14" s="9">
        <v>20349</v>
      </c>
      <c r="AE14" s="9">
        <v>20349</v>
      </c>
      <c r="AF14" s="9">
        <v>20349</v>
      </c>
      <c r="AG14" s="22">
        <f>B14-SUM(L14:AF14)</f>
        <v>20339</v>
      </c>
      <c r="AH14" s="12"/>
      <c r="AI14" s="19"/>
    </row>
    <row r="15" spans="1:35" ht="3" customHeight="1">
      <c r="A15" s="2"/>
      <c r="B15" s="5"/>
      <c r="C15" s="5"/>
      <c r="D15" s="5"/>
      <c r="E15" s="5"/>
      <c r="F15" s="5"/>
      <c r="G15" s="5"/>
      <c r="H15" s="5"/>
      <c r="I15" s="5"/>
      <c r="J15" s="53"/>
      <c r="K15" s="5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3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6" ht="45" customHeight="1">
      <c r="A16" s="29" t="s">
        <v>19</v>
      </c>
      <c r="B16" s="5">
        <v>933797</v>
      </c>
      <c r="C16" s="5"/>
      <c r="D16" s="5"/>
      <c r="E16" s="5"/>
      <c r="F16" s="5"/>
      <c r="G16" s="27"/>
      <c r="H16" s="27"/>
      <c r="I16" s="27"/>
      <c r="J16" s="54"/>
      <c r="K16" s="27"/>
      <c r="L16" s="34">
        <f>7737*1.19</f>
        <v>9207.029999999999</v>
      </c>
      <c r="M16" s="34">
        <f>9426*1.19</f>
        <v>11216.939999999999</v>
      </c>
      <c r="N16" s="34">
        <f>9286*1.19</f>
        <v>11050.34</v>
      </c>
      <c r="O16" s="34">
        <f>8864*1.19</f>
        <v>10548.16</v>
      </c>
      <c r="P16" s="34">
        <f>19412*1.19</f>
        <v>23100.28</v>
      </c>
      <c r="Q16" s="34">
        <f>30853*1.19</f>
        <v>36715.07</v>
      </c>
      <c r="R16" s="34">
        <f>33620*1.19</f>
        <v>40007.799999999996</v>
      </c>
      <c r="S16" s="34">
        <f>35221*1.19</f>
        <v>41912.99</v>
      </c>
      <c r="T16" s="34">
        <f>35221*1.19</f>
        <v>41912.99</v>
      </c>
      <c r="U16" s="34">
        <f>21309*1.19</f>
        <v>25357.71</v>
      </c>
      <c r="V16" s="34">
        <f>15670*1.19</f>
        <v>18647.3</v>
      </c>
      <c r="W16" s="54"/>
      <c r="X16" s="34">
        <f>14307*1.19</f>
        <v>17025.329999999998</v>
      </c>
      <c r="Y16" s="34">
        <f>26572*1.19</f>
        <v>31620.68</v>
      </c>
      <c r="Z16" s="34">
        <f>29962*1.19</f>
        <v>35654.78</v>
      </c>
      <c r="AA16" s="34">
        <f>38252*1.19</f>
        <v>45519.88</v>
      </c>
      <c r="AB16" s="34">
        <f>8477*1.19</f>
        <v>10087.63</v>
      </c>
      <c r="AC16" s="34">
        <f>47224*1.19</f>
        <v>56196.56</v>
      </c>
      <c r="AD16" s="34">
        <f>27286*1.19</f>
        <v>32470.34</v>
      </c>
      <c r="AE16" s="34">
        <f>38846*1.19</f>
        <v>46226.74</v>
      </c>
      <c r="AF16" s="34">
        <f>99983*1.19</f>
        <v>118979.76999999999</v>
      </c>
      <c r="AG16" s="34">
        <f>227175*1.19</f>
        <v>270338.25</v>
      </c>
      <c r="AH16" s="26"/>
      <c r="AI16" s="26"/>
      <c r="AJ16" s="30"/>
    </row>
    <row r="17" spans="1:36" ht="45" customHeight="1">
      <c r="A17" s="2" t="s">
        <v>14</v>
      </c>
      <c r="B17" s="5">
        <v>2343791</v>
      </c>
      <c r="C17" s="5"/>
      <c r="D17" s="5"/>
      <c r="E17" s="5"/>
      <c r="F17" s="5"/>
      <c r="G17" s="27"/>
      <c r="H17" s="27"/>
      <c r="I17" s="27"/>
      <c r="J17" s="54"/>
      <c r="K17" s="27"/>
      <c r="L17" s="35">
        <f>67897*1.19</f>
        <v>80797.43</v>
      </c>
      <c r="M17" s="35">
        <f>46472*1.19</f>
        <v>55301.68</v>
      </c>
      <c r="N17" s="35">
        <f>38423*1.19</f>
        <v>45723.369999999995</v>
      </c>
      <c r="O17" s="35">
        <f>39566*1.19</f>
        <v>47083.54</v>
      </c>
      <c r="P17" s="35">
        <f>41368*1.19</f>
        <v>49227.92</v>
      </c>
      <c r="Q17" s="35">
        <f>67771*1.19</f>
        <v>80647.48999999999</v>
      </c>
      <c r="R17" s="35">
        <f>52742*1.19</f>
        <v>62762.979999999996</v>
      </c>
      <c r="S17" s="35">
        <f>67859*1.19</f>
        <v>80752.20999999999</v>
      </c>
      <c r="T17" s="35">
        <f>26089*1.19</f>
        <v>31045.91</v>
      </c>
      <c r="U17" s="35">
        <f>15670*1.19</f>
        <v>18647.3</v>
      </c>
      <c r="V17" s="35">
        <f>12420*1.19</f>
        <v>14779.8</v>
      </c>
      <c r="W17" s="54"/>
      <c r="X17" s="35">
        <f>90375*1.19</f>
        <v>107546.25</v>
      </c>
      <c r="Y17" s="35">
        <f>88227*1.19</f>
        <v>104990.12999999999</v>
      </c>
      <c r="Z17" s="35">
        <f>203979*1.19</f>
        <v>242735.00999999998</v>
      </c>
      <c r="AA17" s="35">
        <f>211517*1.19</f>
        <v>251705.22999999998</v>
      </c>
      <c r="AB17" s="35">
        <f>30651*1.19</f>
        <v>36474.689999999995</v>
      </c>
      <c r="AC17" s="35">
        <f>68055*1.19</f>
        <v>80985.45</v>
      </c>
      <c r="AD17" s="35">
        <f>238088*1.19</f>
        <v>283324.72</v>
      </c>
      <c r="AE17" s="35">
        <f>44974*1.19</f>
        <v>53519.06</v>
      </c>
      <c r="AF17" s="35">
        <f>31919*1.19</f>
        <v>37983.61</v>
      </c>
      <c r="AG17" s="35">
        <f>389658*1.19</f>
        <v>463693.01999999996</v>
      </c>
      <c r="AH17" s="35">
        <f>95852*1.19</f>
        <v>114063.87999999999</v>
      </c>
      <c r="AI17" s="26"/>
      <c r="AJ17" s="30"/>
    </row>
    <row r="18" spans="1:36" ht="45" customHeight="1">
      <c r="A18" s="2" t="s">
        <v>15</v>
      </c>
      <c r="B18" s="5">
        <v>2742344</v>
      </c>
      <c r="C18" s="5"/>
      <c r="D18" s="5"/>
      <c r="E18" s="5"/>
      <c r="F18" s="5"/>
      <c r="G18" s="27"/>
      <c r="H18" s="27"/>
      <c r="I18" s="27"/>
      <c r="J18" s="54"/>
      <c r="K18" s="27"/>
      <c r="L18" s="34">
        <f>94624*1.19</f>
        <v>112602.56</v>
      </c>
      <c r="M18" s="34">
        <f>102310*1.19</f>
        <v>121748.9</v>
      </c>
      <c r="N18" s="34">
        <f>48902*1.19</f>
        <v>58193.38</v>
      </c>
      <c r="O18" s="34">
        <f>52475*1.19</f>
        <v>62445.25</v>
      </c>
      <c r="P18" s="34">
        <f>55957*1.19</f>
        <v>66588.83</v>
      </c>
      <c r="Q18" s="34">
        <f>110103*1.19</f>
        <v>131022.56999999999</v>
      </c>
      <c r="R18" s="34">
        <f>83918*1.19</f>
        <v>99862.42</v>
      </c>
      <c r="S18" s="34">
        <f>40571*1.19</f>
        <v>48279.49</v>
      </c>
      <c r="T18" s="34">
        <f>27719*1.19</f>
        <v>32985.61</v>
      </c>
      <c r="U18" s="34">
        <f>21396*1.19</f>
        <v>25461.239999999998</v>
      </c>
      <c r="V18" s="34">
        <f>23434*1.19</f>
        <v>27886.46</v>
      </c>
      <c r="W18" s="54"/>
      <c r="X18" s="34">
        <f>16252*1.19</f>
        <v>19339.879999999997</v>
      </c>
      <c r="Y18" s="34">
        <f>95634*1.19</f>
        <v>113804.45999999999</v>
      </c>
      <c r="Z18" s="34">
        <f>110098*1.19</f>
        <v>131016.62</v>
      </c>
      <c r="AA18" s="34">
        <f>147672*1.19</f>
        <v>175729.68</v>
      </c>
      <c r="AB18" s="34">
        <f>309674*1.19</f>
        <v>368512.06</v>
      </c>
      <c r="AC18" s="34">
        <f>57547*1.19</f>
        <v>68480.93</v>
      </c>
      <c r="AD18" s="34">
        <f>94219*1.19</f>
        <v>112120.61</v>
      </c>
      <c r="AE18" s="34">
        <f>189503*1.19</f>
        <v>225508.56999999998</v>
      </c>
      <c r="AF18" s="34">
        <f>42193*1.19</f>
        <v>50209.67</v>
      </c>
      <c r="AG18" s="34">
        <f>428316*1.19</f>
        <v>509696.04</v>
      </c>
      <c r="AH18" s="34">
        <f>151974*1.19</f>
        <v>180849.06</v>
      </c>
      <c r="AI18" s="26"/>
      <c r="AJ18" s="30"/>
    </row>
    <row r="19" spans="1:36" ht="45" customHeight="1">
      <c r="A19" s="2" t="s">
        <v>16</v>
      </c>
      <c r="B19" s="5">
        <v>5609123</v>
      </c>
      <c r="C19" s="5"/>
      <c r="D19" s="5"/>
      <c r="E19" s="5"/>
      <c r="F19" s="5"/>
      <c r="G19" s="27"/>
      <c r="H19" s="27"/>
      <c r="I19" s="27"/>
      <c r="J19" s="54"/>
      <c r="K19" s="27"/>
      <c r="L19" s="35">
        <f>178393*1.19</f>
        <v>212287.66999999998</v>
      </c>
      <c r="M19" s="35">
        <f>135034*1.19</f>
        <v>160690.46</v>
      </c>
      <c r="N19" s="35">
        <f>116897*1.19</f>
        <v>139107.43</v>
      </c>
      <c r="O19" s="35">
        <f>85215*1.19</f>
        <v>101405.84999999999</v>
      </c>
      <c r="P19" s="35">
        <f>90162*1.19</f>
        <v>107292.78</v>
      </c>
      <c r="Q19" s="35">
        <f>184865*1.19</f>
        <v>219989.34999999998</v>
      </c>
      <c r="R19" s="35">
        <f>169023*1.19</f>
        <v>201137.37</v>
      </c>
      <c r="S19" s="35">
        <f>67208*1.19</f>
        <v>79977.51999999999</v>
      </c>
      <c r="T19" s="35">
        <f>49394*1.19</f>
        <v>58778.86</v>
      </c>
      <c r="U19" s="35">
        <f>32292*1.19</f>
        <v>38427.479999999996</v>
      </c>
      <c r="V19" s="35">
        <f>24730*1.19</f>
        <v>29428.699999999997</v>
      </c>
      <c r="W19" s="54"/>
      <c r="X19" s="35">
        <f>165196*1.19</f>
        <v>196583.24</v>
      </c>
      <c r="Y19" s="35">
        <f>193333*1.19</f>
        <v>230066.27</v>
      </c>
      <c r="Z19" s="35">
        <f>58249*1.19</f>
        <v>69316.31</v>
      </c>
      <c r="AA19" s="35">
        <f>90384*1.19</f>
        <v>107556.95999999999</v>
      </c>
      <c r="AB19" s="35">
        <f>366540*1.19</f>
        <v>436182.6</v>
      </c>
      <c r="AC19" s="35">
        <f>757310*1.19</f>
        <v>901198.8999999999</v>
      </c>
      <c r="AD19" s="35">
        <f>137855*1.19</f>
        <v>164047.44999999998</v>
      </c>
      <c r="AE19" s="35">
        <f>529665*1.19</f>
        <v>630301.35</v>
      </c>
      <c r="AF19" s="35">
        <f>69005*1.19</f>
        <v>82115.95</v>
      </c>
      <c r="AG19" s="35">
        <f>987913*1.19</f>
        <v>1175616.47</v>
      </c>
      <c r="AH19" s="35">
        <f>224886*1.19</f>
        <v>267614.33999999997</v>
      </c>
      <c r="AI19" s="26"/>
      <c r="AJ19" s="30"/>
    </row>
    <row r="20" spans="1:36" ht="45" customHeight="1">
      <c r="A20" s="2" t="s">
        <v>17</v>
      </c>
      <c r="B20" s="5">
        <v>5294107</v>
      </c>
      <c r="C20" s="5"/>
      <c r="D20" s="5"/>
      <c r="E20" s="5"/>
      <c r="F20" s="5"/>
      <c r="G20" s="27"/>
      <c r="H20" s="27"/>
      <c r="I20" s="27"/>
      <c r="J20" s="54"/>
      <c r="K20" s="27"/>
      <c r="L20" s="34">
        <f>71276*1.19</f>
        <v>84818.44</v>
      </c>
      <c r="M20" s="34">
        <f>72179*1.19</f>
        <v>85893.01</v>
      </c>
      <c r="N20" s="34">
        <f>72179*1.19</f>
        <v>85893.01</v>
      </c>
      <c r="O20" s="34">
        <f>68898*1.19</f>
        <v>81988.62</v>
      </c>
      <c r="P20" s="34">
        <f>89358*1.19</f>
        <v>106336.01999999999</v>
      </c>
      <c r="Q20" s="34">
        <f>91443*1.19</f>
        <v>108817.17</v>
      </c>
      <c r="R20" s="34">
        <f>70033*1.19</f>
        <v>83339.26999999999</v>
      </c>
      <c r="S20" s="34">
        <f>45168*1.19</f>
        <v>53749.92</v>
      </c>
      <c r="T20" s="34">
        <f>45168*1.19</f>
        <v>53749.92</v>
      </c>
      <c r="U20" s="34">
        <f>153040*1.19</f>
        <v>182117.6</v>
      </c>
      <c r="V20" s="34">
        <f>84216*1.19</f>
        <v>100217.04</v>
      </c>
      <c r="W20" s="54"/>
      <c r="X20" s="34">
        <f>37994*1.19</f>
        <v>45212.86</v>
      </c>
      <c r="Y20" s="34">
        <f>487131*1.19</f>
        <v>579685.89</v>
      </c>
      <c r="Z20" s="34">
        <f>59787*1.19</f>
        <v>71146.53</v>
      </c>
      <c r="AA20" s="34">
        <f>468294*1.19</f>
        <v>557269.86</v>
      </c>
      <c r="AB20" s="34">
        <f>191457*1.19</f>
        <v>227833.83</v>
      </c>
      <c r="AC20" s="34">
        <f>399302*1.19</f>
        <v>475169.38</v>
      </c>
      <c r="AD20" s="34">
        <f>110294*1.19</f>
        <v>131249.86</v>
      </c>
      <c r="AE20" s="34">
        <f>533885*1.19</f>
        <v>635323.15</v>
      </c>
      <c r="AF20" s="34">
        <f>55883*1.19</f>
        <v>66500.77</v>
      </c>
      <c r="AG20" s="34">
        <f>1026456*1.19</f>
        <v>1221482.64</v>
      </c>
      <c r="AH20" s="34">
        <f>215388*1.19</f>
        <v>256311.72</v>
      </c>
      <c r="AI20" s="26"/>
      <c r="AJ20" s="30"/>
    </row>
    <row r="21" spans="1:36" ht="45" customHeight="1">
      <c r="A21" s="2" t="s">
        <v>18</v>
      </c>
      <c r="B21" s="5">
        <v>6816796</v>
      </c>
      <c r="C21" s="5"/>
      <c r="D21" s="5"/>
      <c r="E21" s="5"/>
      <c r="F21" s="5"/>
      <c r="G21" s="27"/>
      <c r="H21" s="27"/>
      <c r="I21" s="27"/>
      <c r="J21" s="54"/>
      <c r="K21" s="27"/>
      <c r="L21" s="35">
        <f>69044*1.19</f>
        <v>82162.36</v>
      </c>
      <c r="M21" s="35">
        <f>75949*1.19</f>
        <v>90379.31</v>
      </c>
      <c r="N21" s="35">
        <f>75949*1.19</f>
        <v>90379.31</v>
      </c>
      <c r="O21" s="35">
        <f>339894*1.19</f>
        <v>404473.86</v>
      </c>
      <c r="P21" s="35">
        <f>110180*1.19</f>
        <v>131114.19999999998</v>
      </c>
      <c r="Q21" s="35">
        <f>115188*1.19</f>
        <v>137073.72</v>
      </c>
      <c r="R21" s="35">
        <f>105172*1.19</f>
        <v>125154.68</v>
      </c>
      <c r="S21" s="35">
        <f>110180*1.19</f>
        <v>131114.19999999998</v>
      </c>
      <c r="T21" s="35">
        <f>110180*1.19</f>
        <v>131114.19999999998</v>
      </c>
      <c r="U21" s="35">
        <f>105172*1.19</f>
        <v>125154.68</v>
      </c>
      <c r="V21" s="35">
        <f>115188*1.19</f>
        <v>137073.72</v>
      </c>
      <c r="W21" s="54"/>
      <c r="X21" s="35">
        <f>111633*1.19</f>
        <v>132843.27</v>
      </c>
      <c r="Y21" s="35">
        <f>180211*1.19</f>
        <v>214451.09</v>
      </c>
      <c r="Z21" s="35">
        <f>199160*1.19</f>
        <v>237000.4</v>
      </c>
      <c r="AA21" s="35">
        <f>190501*1.19</f>
        <v>226696.19</v>
      </c>
      <c r="AB21" s="35">
        <f>181842*1.19</f>
        <v>216391.97999999998</v>
      </c>
      <c r="AC21" s="35">
        <f>113030*1.19</f>
        <v>134505.69999999998</v>
      </c>
      <c r="AD21" s="35">
        <f>885162*1.19</f>
        <v>1053342.78</v>
      </c>
      <c r="AE21" s="35">
        <f>45058*1.19</f>
        <v>53619.02</v>
      </c>
      <c r="AF21" s="35">
        <f>143437*1.19</f>
        <v>170690.03</v>
      </c>
      <c r="AG21" s="35">
        <f>2346270*1.19</f>
        <v>2792061.3</v>
      </c>
      <c r="AH21" s="26"/>
      <c r="AI21" s="26"/>
      <c r="AJ21" s="30"/>
    </row>
    <row r="22" spans="10:35" ht="3" customHeight="1">
      <c r="J22" s="5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55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ht="33.75">
      <c r="A23" s="2" t="s">
        <v>0</v>
      </c>
      <c r="B23" s="5">
        <v>95200</v>
      </c>
      <c r="C23" s="5"/>
      <c r="D23" s="5"/>
      <c r="E23" s="5"/>
      <c r="F23" s="5"/>
      <c r="G23" s="5"/>
      <c r="H23" s="5"/>
      <c r="I23" s="5"/>
      <c r="J23" s="53"/>
      <c r="K23" s="10">
        <v>40000</v>
      </c>
      <c r="L23" s="7"/>
      <c r="M23" s="7"/>
      <c r="N23" s="7"/>
      <c r="O23" s="7"/>
      <c r="P23" s="7"/>
      <c r="Q23" s="12"/>
      <c r="R23" s="12"/>
      <c r="S23" s="12"/>
      <c r="T23" s="12"/>
      <c r="U23" s="12"/>
      <c r="V23" s="7"/>
      <c r="W23" s="53"/>
      <c r="X23" s="7"/>
      <c r="Y23" s="7"/>
      <c r="Z23" s="7"/>
      <c r="AA23" s="7"/>
      <c r="AB23" s="7"/>
      <c r="AC23" s="7"/>
      <c r="AD23" s="7"/>
      <c r="AE23" s="12"/>
      <c r="AF23" s="12"/>
      <c r="AG23" s="12"/>
      <c r="AH23" s="10">
        <v>30000</v>
      </c>
      <c r="AI23" s="13">
        <f>B23-SUM(G23:AH23)</f>
        <v>25200</v>
      </c>
    </row>
    <row r="24" spans="1:35" ht="3" customHeight="1">
      <c r="A24" s="2"/>
      <c r="B24" s="5"/>
      <c r="C24" s="5"/>
      <c r="D24" s="5"/>
      <c r="E24" s="5"/>
      <c r="F24" s="5"/>
      <c r="G24" s="5"/>
      <c r="H24" s="5"/>
      <c r="I24" s="5"/>
      <c r="J24" s="53"/>
      <c r="K24" s="5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53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60" customHeight="1">
      <c r="A25" s="2" t="s">
        <v>11</v>
      </c>
      <c r="B25" s="5"/>
      <c r="C25" s="31">
        <f aca="true" t="shared" si="0" ref="C25:AI25">SUM(C3:C23)</f>
        <v>611660</v>
      </c>
      <c r="D25" s="31">
        <f t="shared" si="0"/>
        <v>0</v>
      </c>
      <c r="E25" s="31">
        <f t="shared" si="0"/>
        <v>0</v>
      </c>
      <c r="F25" s="31">
        <f t="shared" si="0"/>
        <v>0</v>
      </c>
      <c r="G25" s="31">
        <f t="shared" si="0"/>
        <v>180615</v>
      </c>
      <c r="H25" s="31">
        <f t="shared" si="0"/>
        <v>29675</v>
      </c>
      <c r="I25" s="31">
        <f t="shared" si="0"/>
        <v>29675</v>
      </c>
      <c r="J25" s="56"/>
      <c r="K25" s="31">
        <f t="shared" si="0"/>
        <v>84497</v>
      </c>
      <c r="L25" s="31">
        <f t="shared" si="0"/>
        <v>646439.49</v>
      </c>
      <c r="M25" s="31">
        <f t="shared" si="0"/>
        <v>589794.3</v>
      </c>
      <c r="N25" s="31">
        <f t="shared" si="0"/>
        <v>494910.84</v>
      </c>
      <c r="O25" s="31">
        <f t="shared" si="0"/>
        <v>772509.28</v>
      </c>
      <c r="P25" s="31">
        <f t="shared" si="0"/>
        <v>548224.03</v>
      </c>
      <c r="Q25" s="31">
        <f t="shared" si="0"/>
        <v>778829.37</v>
      </c>
      <c r="R25" s="31">
        <f t="shared" si="0"/>
        <v>676828.52</v>
      </c>
      <c r="S25" s="31">
        <f t="shared" si="0"/>
        <v>500350.32999999996</v>
      </c>
      <c r="T25" s="31">
        <f t="shared" si="0"/>
        <v>414151.49</v>
      </c>
      <c r="U25" s="31">
        <f t="shared" si="0"/>
        <v>479730.00999999995</v>
      </c>
      <c r="V25" s="31">
        <f t="shared" si="0"/>
        <v>392597.02</v>
      </c>
      <c r="W25" s="56"/>
      <c r="X25" s="31">
        <f t="shared" si="0"/>
        <v>583114.83</v>
      </c>
      <c r="Y25" s="31">
        <f t="shared" si="0"/>
        <v>1339182.5200000003</v>
      </c>
      <c r="Z25" s="31">
        <f t="shared" si="0"/>
        <v>851433.65</v>
      </c>
      <c r="AA25" s="31">
        <f t="shared" si="0"/>
        <v>1429041.7999999998</v>
      </c>
      <c r="AB25" s="31">
        <f t="shared" si="0"/>
        <v>1360046.79</v>
      </c>
      <c r="AC25" s="31">
        <f t="shared" si="0"/>
        <v>1781100.9199999997</v>
      </c>
      <c r="AD25" s="31">
        <f t="shared" si="0"/>
        <v>1841119.7599999998</v>
      </c>
      <c r="AE25" s="31">
        <f t="shared" si="0"/>
        <v>1709061.8900000001</v>
      </c>
      <c r="AF25" s="31">
        <f t="shared" si="0"/>
        <v>591043.8</v>
      </c>
      <c r="AG25" s="31">
        <f t="shared" si="0"/>
        <v>6497427.72</v>
      </c>
      <c r="AH25" s="31">
        <f t="shared" si="0"/>
        <v>863661</v>
      </c>
      <c r="AI25" s="31">
        <f t="shared" si="0"/>
        <v>25200</v>
      </c>
    </row>
    <row r="26" spans="1:35" ht="60" customHeight="1">
      <c r="A26" s="2" t="s">
        <v>10</v>
      </c>
      <c r="B26" s="5"/>
      <c r="C26" s="36">
        <f>C25</f>
        <v>611660</v>
      </c>
      <c r="D26" s="43">
        <f>SUM(D25:F25)</f>
        <v>0</v>
      </c>
      <c r="E26" s="44"/>
      <c r="F26" s="45"/>
      <c r="G26" s="43">
        <f>SUM(G25:I25)</f>
        <v>239965</v>
      </c>
      <c r="H26" s="44"/>
      <c r="I26" s="45"/>
      <c r="J26" s="57"/>
      <c r="K26" s="43">
        <f>SUM(K25:M25)</f>
        <v>1320730.79</v>
      </c>
      <c r="L26" s="44"/>
      <c r="M26" s="45"/>
      <c r="N26" s="39">
        <f>SUM(N25:P25)</f>
        <v>1815644.1500000001</v>
      </c>
      <c r="O26" s="39"/>
      <c r="P26" s="39"/>
      <c r="Q26" s="39">
        <f>SUM(Q25:S25)</f>
        <v>1956008.2200000002</v>
      </c>
      <c r="R26" s="39"/>
      <c r="S26" s="39"/>
      <c r="T26" s="39">
        <f>SUM(T25:V25)</f>
        <v>1286478.52</v>
      </c>
      <c r="U26" s="39"/>
      <c r="V26" s="39"/>
      <c r="W26" s="57"/>
      <c r="X26" s="39">
        <f>SUM(X25:Z25)</f>
        <v>2773731</v>
      </c>
      <c r="Y26" s="39"/>
      <c r="Z26" s="39"/>
      <c r="AA26" s="39">
        <f>SUM(AA25:AC25)</f>
        <v>4570189.51</v>
      </c>
      <c r="AB26" s="39"/>
      <c r="AC26" s="39"/>
      <c r="AD26" s="39">
        <f>SUM(AD25:AF25)</f>
        <v>4141225.45</v>
      </c>
      <c r="AE26" s="39"/>
      <c r="AF26" s="39"/>
      <c r="AG26" s="39">
        <f>SUM(AG25:AI25)</f>
        <v>7386288.72</v>
      </c>
      <c r="AH26" s="39"/>
      <c r="AI26" s="39"/>
    </row>
    <row r="27" spans="1:35" ht="45.75" customHeight="1">
      <c r="A27" s="2" t="s">
        <v>12</v>
      </c>
      <c r="B27" s="28"/>
      <c r="C27" s="46">
        <f>SUM(C26:I26)</f>
        <v>851625</v>
      </c>
      <c r="D27" s="46"/>
      <c r="E27" s="46"/>
      <c r="F27" s="46"/>
      <c r="G27" s="46"/>
      <c r="H27" s="46"/>
      <c r="I27" s="47"/>
      <c r="J27" s="58"/>
      <c r="K27" s="48">
        <f>SUM(K26:V26)</f>
        <v>6378861.68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7"/>
      <c r="W27" s="58"/>
      <c r="X27" s="48">
        <f>SUM(X26:AI26)</f>
        <v>18871434.68</v>
      </c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7"/>
    </row>
    <row r="28" spans="1:35" ht="49.5" customHeight="1">
      <c r="A28" s="2" t="s">
        <v>13</v>
      </c>
      <c r="B28" s="5"/>
      <c r="C28" s="40">
        <f>SUM(B27:AI27)</f>
        <v>26101921.36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2"/>
    </row>
  </sheetData>
  <sheetProtection/>
  <mergeCells count="15">
    <mergeCell ref="C28:AI28"/>
    <mergeCell ref="Q26:S26"/>
    <mergeCell ref="T26:V26"/>
    <mergeCell ref="K26:M26"/>
    <mergeCell ref="G26:I26"/>
    <mergeCell ref="D26:F26"/>
    <mergeCell ref="C27:I27"/>
    <mergeCell ref="X27:AI27"/>
    <mergeCell ref="K27:V27"/>
    <mergeCell ref="A1:AI1"/>
    <mergeCell ref="X26:Z26"/>
    <mergeCell ref="AA26:AC26"/>
    <mergeCell ref="AD26:AF26"/>
    <mergeCell ref="AG26:AI26"/>
    <mergeCell ref="N26:P26"/>
  </mergeCells>
  <printOptions horizontalCentered="1" verticalCentered="1"/>
  <pageMargins left="0.2755905511811024" right="0.19" top="0.1968503937007874" bottom="0.1968503937007874" header="0.15748031496062992" footer="0.15748031496062992"/>
  <pageSetup fitToHeight="1" fitToWidth="1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pruska</dc:creator>
  <cp:keywords/>
  <dc:description/>
  <cp:lastModifiedBy>pruska</cp:lastModifiedBy>
  <cp:lastPrinted>2008-03-06T10:09:11Z</cp:lastPrinted>
  <dcterms:created xsi:type="dcterms:W3CDTF">2008-02-19T14:40:23Z</dcterms:created>
  <dcterms:modified xsi:type="dcterms:W3CDTF">2009-04-08T09:18:07Z</dcterms:modified>
  <cp:category/>
  <cp:version/>
  <cp:contentType/>
  <cp:contentStatus/>
</cp:coreProperties>
</file>