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5420" windowHeight="4740" tabRatio="706" activeTab="0"/>
  </bookViews>
  <sheets>
    <sheet name="Lis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<sst xmlns="http://schemas.openxmlformats.org/spreadsheetml/2006/main" count="219" uniqueCount="118">
  <si>
    <t xml:space="preserve">Název projektu : </t>
  </si>
  <si>
    <t xml:space="preserve"> Části  projektu</t>
  </si>
  <si>
    <t>Položka – druh výdaje</t>
  </si>
  <si>
    <t>Jednotka</t>
  </si>
  <si>
    <t xml:space="preserve">Počet jednotek </t>
  </si>
  <si>
    <t xml:space="preserve">Jednotkové náklady </t>
  </si>
  <si>
    <t>Náklady za položku celkem bez DPH</t>
  </si>
  <si>
    <t>Náklady za položku celkem s DPH</t>
  </si>
  <si>
    <t>Základní rozpočtové náklady stavby</t>
  </si>
  <si>
    <t>Náklady související s přípravou realizace</t>
  </si>
  <si>
    <t>Stavební náklady celkem</t>
  </si>
  <si>
    <t>2. Nákup a dodávka zařízení</t>
  </si>
  <si>
    <t>Nákup a dodávka zařízení celkem</t>
  </si>
  <si>
    <t>3. Služby</t>
  </si>
  <si>
    <t>Služby celkem</t>
  </si>
  <si>
    <r>
      <t xml:space="preserve">4. Administrativní náklady projektu** - náklady </t>
    </r>
    <r>
      <rPr>
        <b/>
        <u val="single"/>
        <sz val="10"/>
        <color indexed="10"/>
        <rFont val="Times New Roman"/>
        <family val="1"/>
      </rPr>
      <t>pouze spojené s řízením projektu</t>
    </r>
    <r>
      <rPr>
        <b/>
        <sz val="10"/>
        <color indexed="10"/>
        <rFont val="Times New Roman"/>
        <family val="1"/>
      </rPr>
      <t xml:space="preserve"> </t>
    </r>
  </si>
  <si>
    <t xml:space="preserve">Administrativní náklady projektu celkem </t>
  </si>
  <si>
    <t>5. Publicita</t>
  </si>
  <si>
    <t>Publicita celkem</t>
  </si>
  <si>
    <r>
      <t xml:space="preserve">6. </t>
    </r>
    <r>
      <rPr>
        <b/>
        <sz val="11"/>
        <color indexed="12"/>
        <rFont val="Times New Roman"/>
        <family val="1"/>
      </rPr>
      <t>Jiné náklady ***</t>
    </r>
  </si>
  <si>
    <t>Jiné náklady celkem</t>
  </si>
  <si>
    <t>ROZPOČET CELKEM</t>
  </si>
  <si>
    <r>
      <t> </t>
    </r>
    <r>
      <rPr>
        <b/>
        <sz val="10"/>
        <color indexed="12"/>
        <rFont val="Times New Roman"/>
        <family val="1"/>
      </rPr>
      <t>* v případě, že k žádosti nebo příloze k žádosti je přiložen podrobný rozpočet, není třeba zpracovávat</t>
    </r>
  </si>
  <si>
    <r>
      <t>**</t>
    </r>
    <r>
      <rPr>
        <b/>
        <sz val="10"/>
        <color indexed="10"/>
        <rFont val="Times New Roman"/>
        <family val="1"/>
      </rPr>
      <t xml:space="preserve"> Administrativní náklady projektu** </t>
    </r>
    <r>
      <rPr>
        <b/>
        <u val="single"/>
        <sz val="10"/>
        <color indexed="10"/>
        <rFont val="Times New Roman"/>
        <family val="1"/>
      </rPr>
      <t>maximálně 5%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8"/>
        <rFont val="Times New Roman"/>
        <family val="1"/>
      </rPr>
      <t>z celkových oprávněných nákladů projektu !!!</t>
    </r>
  </si>
  <si>
    <t>*** Nutno specifikovat</t>
  </si>
  <si>
    <t>ks</t>
  </si>
  <si>
    <t>Modernizace a vybavení Základní umělecké školy Bystré</t>
  </si>
  <si>
    <t>hod</t>
  </si>
  <si>
    <t>1. Stavební náklady*</t>
  </si>
  <si>
    <t xml:space="preserve">k žádosti je přiložen </t>
  </si>
  <si>
    <t>1.PP - expoziční prostory, nový vstup - vybavení</t>
  </si>
  <si>
    <t>3.NP - půdní prostor vestavba učeben - vybavení</t>
  </si>
  <si>
    <t>Modernizace a vybavení 1.NP - vybavení</t>
  </si>
  <si>
    <t>Modernizace a vybavení 2.NP - vybavení</t>
  </si>
  <si>
    <t>normostr.</t>
  </si>
  <si>
    <t>monitorovací zprávy, vyhodnocení</t>
  </si>
  <si>
    <t>překladatel (spolupráce při realizaci)</t>
  </si>
  <si>
    <t>dvoulavice žákovská výškově stavitelná + 2x židle</t>
  </si>
  <si>
    <t>jednolavice žákovská výškově stavitelná + 1x židle</t>
  </si>
  <si>
    <t>PC, dvoujádrový procesor,4 GB operační pamět</t>
  </si>
  <si>
    <t>LCD monitor 22", 20000:1, 300cd/m2, 2ms</t>
  </si>
  <si>
    <t>židle otočná učitelská</t>
  </si>
  <si>
    <t xml:space="preserve">klavír s 88mi klávesami, třemi pedály, </t>
  </si>
  <si>
    <t>černobílá laserová tiskárna A4, 1200x1200 DPI</t>
  </si>
  <si>
    <t>kuchyň.koutek pro provoz expozice, dřez+baterie, 1,2 m</t>
  </si>
  <si>
    <t>bilboard (150x100 cm, samolepka, laminace)</t>
  </si>
  <si>
    <t>rozšíření webových stránek - info o projektu</t>
  </si>
  <si>
    <t>zahájení školního roku - pozvánky</t>
  </si>
  <si>
    <t>den otevřených dveří ZUŠ - vizitky 90*50 mm, jednostr.</t>
  </si>
  <si>
    <t>počet tisků</t>
  </si>
  <si>
    <t xml:space="preserve">právník (konzultace při uzavírání smluv o dílo) </t>
  </si>
  <si>
    <t>mycí linka -skříň dolní 2-dveřová, dřez s odkapem, 90 cm</t>
  </si>
  <si>
    <t>baletní koberec - pás 1,5x10 m</t>
  </si>
  <si>
    <t>PC-server, 2jádr.proces, 4 GB OP, dva HDD každý 400 GB</t>
  </si>
  <si>
    <t>stativ na světlo 320 cm</t>
  </si>
  <si>
    <t>stojan na noty</t>
  </si>
  <si>
    <t>mobilní zvlhčovač vzduchu 220W, min. 2 l nádrž</t>
  </si>
  <si>
    <t>tamburina 8“ s 5 rolničkami</t>
  </si>
  <si>
    <t>dvojjazyčné letáky - vel.A4 složeno na A5</t>
  </si>
  <si>
    <t>pamětní deska</t>
  </si>
  <si>
    <t>publicita v reg.tisku 15x10= 150cm2 x 44,65 Kč/cm2</t>
  </si>
  <si>
    <t>uc.část</t>
  </si>
  <si>
    <t>1.PP - expoziční prostory, nový vstup 
(detailní rozpočet je v ČJ na NKM)</t>
  </si>
  <si>
    <t>3.NP - půdní prostor vestavba učeben
(detailní rozpočet je v ČJ na NKM)</t>
  </si>
  <si>
    <t>xxxx</t>
  </si>
  <si>
    <t>modernizace 1.NP a 2.NP - st.práce
(detailní rozpočet je v ČJ na NKM)</t>
  </si>
  <si>
    <t>modernizace a vybavení 1.NP - st.práce
(detailní rozpočet je v ČJ na NKM)</t>
  </si>
  <si>
    <t>modernizace a vybavení 2.NP - st.práce
(detailní rozpočet je v ČJ na NKM)</t>
  </si>
  <si>
    <t>Modernizace a vybavení 1.NP+2.NP - vybavení</t>
  </si>
  <si>
    <t>schodolez pro transport vozíků</t>
  </si>
  <si>
    <t>žaluzie ke stávajícícm zrcadlovým stěnám 1x 2,4*2,8 m + 1x 6,2*2,8 m</t>
  </si>
  <si>
    <t>multifunkční vitrína pro výstavy s bezp.sklem 
185x70x35 cm</t>
  </si>
  <si>
    <t>čtyřpatrová rohová police pro expozice
50x80x80 cm</t>
  </si>
  <si>
    <t>klimatizační jednotka; chlazení=2,9 kW, topení=2,89 kW
90x39,5x35 cm</t>
  </si>
  <si>
    <t>regál nosnost 120 Kg, 6 polic - 200x100x60 cm</t>
  </si>
  <si>
    <t>skříň na pomůcky, 4 police - 190x90x40 cm</t>
  </si>
  <si>
    <t>mobilní tabule s oboustranným povrchem - 150x100 cm</t>
  </si>
  <si>
    <t>multimediální katedra včetně židle - 120x60x110 cm</t>
  </si>
  <si>
    <t>malířské stojany dřevěné, pro plátno 90 cm - 14x45x75 cm</t>
  </si>
  <si>
    <t>stojan na sušení výkresů - 60x100x120 cm</t>
  </si>
  <si>
    <t>válcovací stůl na keramiku - 115x85x 100 cm</t>
  </si>
  <si>
    <t>hlubotiskový lis s volantem a stolem - 80x150 cm</t>
  </si>
  <si>
    <t>hrnčířské kruhy, 400(230) V, 230 ot/min - 80x65x105 cm</t>
  </si>
  <si>
    <t>keramická komorová pec, 120 l, teplota 1280 °C</t>
  </si>
  <si>
    <t>truhlářská hoblice - 75x110x40 cm</t>
  </si>
  <si>
    <t>stojanová vrtačka, vrták 3-16mm, 450 W, 12 rychlostí, náklon +/- 45°</t>
  </si>
  <si>
    <t>dvoukotoučová bruska 150 mm, 500 W, 2900 ot/min.</t>
  </si>
  <si>
    <t>regál nosnost 120 kg, 7 polic - 200x100x60 cm</t>
  </si>
  <si>
    <t>výkresová skříň s 10 zásuvkami - 90x75x75 cm</t>
  </si>
  <si>
    <t>digitální zrcadlovka, 12 Mpx, 16-105 mm, 3"LCD/9000pix</t>
  </si>
  <si>
    <t>fototiskárna, termální inkoustový tisk, 4800x1200 DPI</t>
  </si>
  <si>
    <t>tablet A5 + pero, 2540dpi, USB port</t>
  </si>
  <si>
    <t>digitální kamera HDV, 50GB HDD, 5Mpix, 16:9, zoom 12x</t>
  </si>
  <si>
    <t>scanner A4, 4800x4800 DPI, USB2.0</t>
  </si>
  <si>
    <t>halogenové fotografické světlo, 4 klapky, filtry, 1000W</t>
  </si>
  <si>
    <t>multimediální sestava pro výtvarný obor - projektor, plátno, DVD, video, repro 5.1, receiver</t>
  </si>
  <si>
    <t>vybavení fotokomory - misky, kleště, sušička, řezačka, spínací hodiny, lupa, váleček, teploměr, zvětšovací přístroj, maskovací rám</t>
  </si>
  <si>
    <t>šatní komplet pro 7 žáků, 90x175 cm</t>
  </si>
  <si>
    <t>učitelský stůl, kombinace dřevo-kov, 70x160x60 cm</t>
  </si>
  <si>
    <t>digitální piano, 88 kláves s kladívkovou mechanikou, 128 hlasů, 16 partů, 2 sloty, displej; 141x37x14 cm</t>
  </si>
  <si>
    <t>regál nosnost 120 Kg, 7 polic - 240x100x60 cm</t>
  </si>
  <si>
    <t>PC učitelské v síti - PC(OP 4MB, HDD 500GB, DVD-RW), monitor (19", 16:9, 5ms), klávesnice, myš</t>
  </si>
  <si>
    <t>interierové meziokenní žaluzie do okna 1,1x1,7 m</t>
  </si>
  <si>
    <t>multimediální sestava pro taneční obor  - stmívač, reflektory, 6x vana, 1x bodové světlo, 1x obrysové světlo, světelný pult, CD přehrávač,mixažní pult, reprosoustava, mikroport</t>
  </si>
  <si>
    <t>interaktivní tabule + SW, 160x120 cm</t>
  </si>
  <si>
    <t>multifunkční laserové zařízení, A4 
- tiskárna, fax, kopírka, scanner</t>
  </si>
  <si>
    <t>multimediální sestava pro hudební obor - zvuková karta, mixážbí pult, 2x studiový monitor, 4x odposlech, 6x stylový mikrofon, 4x kondenzátorový mikrofon, 6x nástrojový mikrofon, DI box, projektor, plátno, DVD, reprosoustava</t>
  </si>
  <si>
    <t>souprava rytmických nástrojů - bubínek, chrastítko, hůlky, klapačka, rolničky, drhlo, palička</t>
  </si>
  <si>
    <t>dvouřadý xylofon s 30 kovovými kameny</t>
  </si>
  <si>
    <t>velká sada karaoke mix - vstp DVD, výstup TV, mikrofon</t>
  </si>
  <si>
    <t>autorský dozor projektanta (72 týdnů po 2 hod)</t>
  </si>
  <si>
    <t>technický dozor investora (72 týdnů po 3 hod)</t>
  </si>
  <si>
    <t>PD pro výběr zhotovitele (cca 120 hod)</t>
  </si>
  <si>
    <t>PD pro provedení stavby (cca 250 hod)</t>
  </si>
  <si>
    <t>zpracování výběrového řízení (7x 8 hod + 1x 24 hod)</t>
  </si>
  <si>
    <t>Náklady jsou stanoveny  v EURO  dle obdobných projektů a obvyklé ceny na trhu</t>
  </si>
  <si>
    <t>xxx</t>
  </si>
  <si>
    <t>září 2008 (žádost)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</si>
</sst>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1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9"/>
      <name val="Times New Roman"/>
      <family val="1"/>
    </font>
    <font>
      <b/>
      <i/>
      <sz val="10"/>
      <color indexed="12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10"/>
      <name val="Arial CE"/>
      <family val="0"/>
    </font>
    <font>
      <b/>
      <sz val="10"/>
      <color indexed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3" fontId="13" fillId="33" borderId="12" xfId="0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right" vertical="center" wrapText="1"/>
    </xf>
    <xf numFmtId="0" fontId="16" fillId="0" borderId="16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3" fontId="12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right" vertical="center" wrapText="1"/>
    </xf>
    <xf numFmtId="3" fontId="20" fillId="0" borderId="17" xfId="0" applyNumberFormat="1" applyFont="1" applyBorder="1" applyAlignment="1">
      <alignment horizontal="right" vertical="center"/>
    </xf>
    <xf numFmtId="3" fontId="20" fillId="0" borderId="1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3" fontId="12" fillId="33" borderId="12" xfId="0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right" vertical="center" wrapText="1"/>
    </xf>
    <xf numFmtId="0" fontId="3" fillId="33" borderId="20" xfId="0" applyFont="1" applyFill="1" applyBorder="1" applyAlignment="1">
      <alignment vertical="center"/>
    </xf>
    <xf numFmtId="0" fontId="12" fillId="33" borderId="22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right" vertical="center" wrapText="1"/>
    </xf>
    <xf numFmtId="3" fontId="13" fillId="33" borderId="10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3" fontId="13" fillId="33" borderId="10" xfId="0" applyNumberFormat="1" applyFont="1" applyFill="1" applyBorder="1" applyAlignment="1">
      <alignment horizontal="right" vertical="center" wrapText="1"/>
    </xf>
    <xf numFmtId="0" fontId="6" fillId="34" borderId="25" xfId="0" applyFont="1" applyFill="1" applyBorder="1" applyAlignment="1">
      <alignment vertical="center"/>
    </xf>
    <xf numFmtId="0" fontId="6" fillId="35" borderId="26" xfId="0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center" vertical="center" wrapText="1"/>
    </xf>
    <xf numFmtId="3" fontId="6" fillId="35" borderId="26" xfId="0" applyNumberFormat="1" applyFont="1" applyFill="1" applyBorder="1" applyAlignment="1">
      <alignment horizontal="center" vertical="center"/>
    </xf>
    <xf numFmtId="3" fontId="6" fillId="35" borderId="26" xfId="0" applyNumberFormat="1" applyFont="1" applyFill="1" applyBorder="1" applyAlignment="1">
      <alignment horizontal="right" vertical="center"/>
    </xf>
    <xf numFmtId="3" fontId="6" fillId="34" borderId="26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5" fillId="0" borderId="27" xfId="47" applyFont="1" applyFill="1" applyBorder="1" applyAlignment="1">
      <alignment vertical="center" wrapText="1"/>
      <protection/>
    </xf>
    <xf numFmtId="0" fontId="20" fillId="0" borderId="14" xfId="0" applyFont="1" applyBorder="1" applyAlignment="1">
      <alignment horizontal="left" vertical="center" wrapText="1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horizontal="left" vertical="center" wrapText="1"/>
    </xf>
    <xf numFmtId="3" fontId="20" fillId="0" borderId="17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10" fontId="20" fillId="0" borderId="17" xfId="0" applyNumberFormat="1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49" fontId="23" fillId="3" borderId="23" xfId="0" applyNumberFormat="1" applyFont="1" applyFill="1" applyBorder="1" applyAlignment="1">
      <alignment horizontal="center" vertical="center" wrapText="1"/>
    </xf>
    <xf numFmtId="49" fontId="23" fillId="3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">
      <pane ySplit="3" topLeftCell="A100" activePane="bottomLeft" state="frozen"/>
      <selection pane="topLeft" activeCell="A1" sqref="A1"/>
      <selection pane="bottomLeft" activeCell="B2" sqref="B2:G2"/>
    </sheetView>
  </sheetViews>
  <sheetFormatPr defaultColWidth="9.140625" defaultRowHeight="12.75"/>
  <cols>
    <col min="1" max="1" width="27.57421875" style="2" customWidth="1"/>
    <col min="2" max="2" width="45.28125" style="105" customWidth="1"/>
    <col min="3" max="3" width="10.57421875" style="106" customWidth="1"/>
    <col min="4" max="4" width="10.7109375" style="107" customWidth="1"/>
    <col min="5" max="5" width="9.8515625" style="108" customWidth="1"/>
    <col min="6" max="6" width="13.8515625" style="108" customWidth="1"/>
    <col min="7" max="7" width="17.8515625" style="108" customWidth="1"/>
    <col min="8" max="8" width="2.140625" style="2" customWidth="1"/>
    <col min="9" max="9" width="13.140625" style="126" customWidth="1"/>
    <col min="10" max="10" width="11.140625" style="126" customWidth="1"/>
    <col min="11" max="11" width="9.140625" style="128" customWidth="1"/>
    <col min="12" max="16384" width="9.140625" style="2" customWidth="1"/>
  </cols>
  <sheetData>
    <row r="1" spans="1:7" ht="26.25" customHeight="1" thickBot="1">
      <c r="A1" s="1" t="s">
        <v>0</v>
      </c>
      <c r="B1" s="141" t="s">
        <v>26</v>
      </c>
      <c r="C1" s="142"/>
      <c r="D1" s="142"/>
      <c r="E1" s="142"/>
      <c r="F1" s="143" t="s">
        <v>117</v>
      </c>
      <c r="G1" s="144"/>
    </row>
    <row r="2" spans="1:7" ht="18" customHeight="1" thickBot="1">
      <c r="A2" s="3"/>
      <c r="B2" s="138" t="s">
        <v>115</v>
      </c>
      <c r="C2" s="139"/>
      <c r="D2" s="139"/>
      <c r="E2" s="139"/>
      <c r="F2" s="139"/>
      <c r="G2" s="140"/>
    </row>
    <row r="3" spans="1:7" ht="36.75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4.25">
      <c r="A4" s="8" t="s">
        <v>28</v>
      </c>
      <c r="B4" s="9" t="s">
        <v>8</v>
      </c>
      <c r="C4" s="10"/>
      <c r="D4" s="11"/>
      <c r="E4" s="12"/>
      <c r="F4" s="13"/>
      <c r="G4" s="14"/>
    </row>
    <row r="5" spans="1:7" ht="25.5">
      <c r="A5" s="15" t="s">
        <v>29</v>
      </c>
      <c r="B5" s="16" t="s">
        <v>62</v>
      </c>
      <c r="C5" s="17" t="s">
        <v>61</v>
      </c>
      <c r="D5" s="18">
        <v>1</v>
      </c>
      <c r="E5" s="19">
        <f>735337</f>
        <v>735337</v>
      </c>
      <c r="F5" s="20">
        <f aca="true" t="shared" si="0" ref="F5:F10">D5*E5</f>
        <v>735337</v>
      </c>
      <c r="G5" s="21">
        <f aca="true" t="shared" si="1" ref="G5:G10">F5*1.19</f>
        <v>875051.0299999999</v>
      </c>
    </row>
    <row r="6" spans="1:7" ht="25.5">
      <c r="A6" s="15"/>
      <c r="B6" s="16" t="s">
        <v>63</v>
      </c>
      <c r="C6" s="17" t="s">
        <v>61</v>
      </c>
      <c r="D6" s="18">
        <v>1</v>
      </c>
      <c r="E6" s="19">
        <f>2068639</f>
        <v>2068639</v>
      </c>
      <c r="F6" s="20">
        <f t="shared" si="0"/>
        <v>2068639</v>
      </c>
      <c r="G6" s="21">
        <f t="shared" si="1"/>
        <v>2461680.4099999997</v>
      </c>
    </row>
    <row r="7" spans="1:7" ht="25.5">
      <c r="A7" s="15"/>
      <c r="B7" s="16" t="s">
        <v>65</v>
      </c>
      <c r="C7" s="17" t="s">
        <v>61</v>
      </c>
      <c r="D7" s="18">
        <v>1</v>
      </c>
      <c r="E7" s="19">
        <f>1423016</f>
        <v>1423016</v>
      </c>
      <c r="F7" s="20">
        <f t="shared" si="0"/>
        <v>1423016</v>
      </c>
      <c r="G7" s="21">
        <f t="shared" si="1"/>
        <v>1693389.04</v>
      </c>
    </row>
    <row r="8" spans="1:7" ht="25.5">
      <c r="A8" s="15"/>
      <c r="B8" s="16" t="s">
        <v>66</v>
      </c>
      <c r="C8" s="17" t="s">
        <v>61</v>
      </c>
      <c r="D8" s="18">
        <v>1</v>
      </c>
      <c r="E8" s="19">
        <f>243845</f>
        <v>243845</v>
      </c>
      <c r="F8" s="20">
        <f t="shared" si="0"/>
        <v>243845</v>
      </c>
      <c r="G8" s="21">
        <f t="shared" si="1"/>
        <v>290175.55</v>
      </c>
    </row>
    <row r="9" spans="1:7" ht="25.5">
      <c r="A9" s="15"/>
      <c r="B9" s="16" t="s">
        <v>67</v>
      </c>
      <c r="C9" s="17" t="s">
        <v>61</v>
      </c>
      <c r="D9" s="18">
        <v>1</v>
      </c>
      <c r="E9" s="19">
        <f>131525</f>
        <v>131525</v>
      </c>
      <c r="F9" s="20">
        <f t="shared" si="0"/>
        <v>131525</v>
      </c>
      <c r="G9" s="21">
        <f t="shared" si="1"/>
        <v>156514.75</v>
      </c>
    </row>
    <row r="10" spans="1:7" ht="15" thickBot="1">
      <c r="A10" s="15"/>
      <c r="B10" s="22" t="s">
        <v>9</v>
      </c>
      <c r="C10" s="23" t="s">
        <v>64</v>
      </c>
      <c r="D10" s="24">
        <v>0</v>
      </c>
      <c r="E10" s="25">
        <f>0</f>
        <v>0</v>
      </c>
      <c r="F10" s="20">
        <f t="shared" si="0"/>
        <v>0</v>
      </c>
      <c r="G10" s="21">
        <f t="shared" si="1"/>
        <v>0</v>
      </c>
    </row>
    <row r="11" spans="1:7" ht="13.5" thickBot="1">
      <c r="A11" s="27" t="s">
        <v>10</v>
      </c>
      <c r="B11" s="28"/>
      <c r="C11" s="29"/>
      <c r="D11" s="30"/>
      <c r="E11" s="31"/>
      <c r="F11" s="31">
        <f>SUM(F5:F10)</f>
        <v>4602362</v>
      </c>
      <c r="G11" s="31">
        <f>SUM(G5:G10)</f>
        <v>5476810.779999999</v>
      </c>
    </row>
    <row r="12" spans="1:7" ht="12.75">
      <c r="A12" s="32" t="s">
        <v>11</v>
      </c>
      <c r="B12" s="33" t="s">
        <v>30</v>
      </c>
      <c r="C12" s="34"/>
      <c r="D12" s="35"/>
      <c r="E12" s="36"/>
      <c r="F12" s="36"/>
      <c r="G12" s="37"/>
    </row>
    <row r="13" spans="1:11" s="43" customFormat="1" ht="25.5">
      <c r="A13" s="38"/>
      <c r="B13" s="137" t="s">
        <v>71</v>
      </c>
      <c r="C13" s="40" t="s">
        <v>25</v>
      </c>
      <c r="D13" s="41">
        <v>4</v>
      </c>
      <c r="E13" s="42">
        <f>10470</f>
        <v>10470</v>
      </c>
      <c r="F13" s="20">
        <f>D13*E13</f>
        <v>41880</v>
      </c>
      <c r="G13" s="21">
        <f aca="true" t="shared" si="2" ref="G13:G94">F13*1.19</f>
        <v>49837.2</v>
      </c>
      <c r="I13" s="127"/>
      <c r="J13" s="127"/>
      <c r="K13" s="129"/>
    </row>
    <row r="14" spans="1:11" s="43" customFormat="1" ht="25.5">
      <c r="A14" s="44"/>
      <c r="B14" s="45" t="s">
        <v>72</v>
      </c>
      <c r="C14" s="17" t="s">
        <v>25</v>
      </c>
      <c r="D14" s="41">
        <v>6</v>
      </c>
      <c r="E14" s="42">
        <f>1192</f>
        <v>1192</v>
      </c>
      <c r="F14" s="20">
        <f>D14*E14</f>
        <v>7152</v>
      </c>
      <c r="G14" s="21">
        <f t="shared" si="2"/>
        <v>8510.88</v>
      </c>
      <c r="I14" s="127"/>
      <c r="J14" s="127"/>
      <c r="K14" s="129"/>
    </row>
    <row r="15" spans="1:11" s="43" customFormat="1" ht="25.5">
      <c r="A15" s="44"/>
      <c r="B15" s="45" t="s">
        <v>73</v>
      </c>
      <c r="C15" s="17" t="s">
        <v>25</v>
      </c>
      <c r="D15" s="41">
        <v>1</v>
      </c>
      <c r="E15" s="42">
        <f>47800</f>
        <v>47800</v>
      </c>
      <c r="F15" s="20">
        <f>D15*E15</f>
        <v>47800</v>
      </c>
      <c r="G15" s="21">
        <f>F15*1.19</f>
        <v>56882</v>
      </c>
      <c r="I15" s="127"/>
      <c r="J15" s="127"/>
      <c r="K15" s="129"/>
    </row>
    <row r="16" spans="1:11" s="43" customFormat="1" ht="14.25">
      <c r="A16" s="44"/>
      <c r="B16" s="131" t="s">
        <v>44</v>
      </c>
      <c r="C16" s="132" t="s">
        <v>25</v>
      </c>
      <c r="D16" s="133">
        <v>1</v>
      </c>
      <c r="E16" s="134">
        <f>14540</f>
        <v>14540</v>
      </c>
      <c r="F16" s="135">
        <f>D16*E16</f>
        <v>14540</v>
      </c>
      <c r="G16" s="136">
        <f>F16*1.19</f>
        <v>17302.6</v>
      </c>
      <c r="I16" s="127"/>
      <c r="J16" s="127"/>
      <c r="K16" s="129"/>
    </row>
    <row r="17" spans="1:11" s="43" customFormat="1" ht="14.25">
      <c r="A17" s="44"/>
      <c r="B17" s="52" t="s">
        <v>31</v>
      </c>
      <c r="C17" s="17"/>
      <c r="D17" s="41"/>
      <c r="E17" s="42"/>
      <c r="F17" s="42"/>
      <c r="G17" s="53"/>
      <c r="I17" s="127"/>
      <c r="J17" s="127"/>
      <c r="K17" s="129"/>
    </row>
    <row r="18" spans="1:11" s="43" customFormat="1" ht="14.25">
      <c r="A18" s="44"/>
      <c r="B18" s="45" t="s">
        <v>74</v>
      </c>
      <c r="C18" s="17" t="s">
        <v>25</v>
      </c>
      <c r="D18" s="41">
        <v>2</v>
      </c>
      <c r="E18" s="42">
        <f>3380</f>
        <v>3380</v>
      </c>
      <c r="F18" s="20">
        <f>D18*E18</f>
        <v>6760</v>
      </c>
      <c r="G18" s="21">
        <f t="shared" si="2"/>
        <v>8044.4</v>
      </c>
      <c r="I18" s="127"/>
      <c r="J18" s="127"/>
      <c r="K18" s="129"/>
    </row>
    <row r="19" spans="1:11" s="43" customFormat="1" ht="14.25">
      <c r="A19" s="44"/>
      <c r="B19" s="45" t="s">
        <v>75</v>
      </c>
      <c r="C19" s="17" t="s">
        <v>25</v>
      </c>
      <c r="D19" s="41">
        <v>4</v>
      </c>
      <c r="E19" s="42">
        <f>4535</f>
        <v>4535</v>
      </c>
      <c r="F19" s="20">
        <f aca="true" t="shared" si="3" ref="F19:F47">D19*E19</f>
        <v>18140</v>
      </c>
      <c r="G19" s="21">
        <f t="shared" si="2"/>
        <v>21586.6</v>
      </c>
      <c r="I19" s="127"/>
      <c r="J19" s="127"/>
      <c r="K19" s="129"/>
    </row>
    <row r="20" spans="1:11" s="43" customFormat="1" ht="14.25">
      <c r="A20" s="44"/>
      <c r="B20" s="45" t="s">
        <v>51</v>
      </c>
      <c r="C20" s="17" t="s">
        <v>25</v>
      </c>
      <c r="D20" s="41">
        <v>4</v>
      </c>
      <c r="E20" s="42">
        <f>5425</f>
        <v>5425</v>
      </c>
      <c r="F20" s="20">
        <f t="shared" si="3"/>
        <v>21700</v>
      </c>
      <c r="G20" s="21">
        <f t="shared" si="2"/>
        <v>25823</v>
      </c>
      <c r="I20" s="127"/>
      <c r="J20" s="127"/>
      <c r="K20" s="129"/>
    </row>
    <row r="21" spans="1:11" s="43" customFormat="1" ht="14.25">
      <c r="A21" s="44"/>
      <c r="B21" s="45" t="s">
        <v>76</v>
      </c>
      <c r="C21" s="17" t="s">
        <v>25</v>
      </c>
      <c r="D21" s="41">
        <v>1</v>
      </c>
      <c r="E21" s="42">
        <f>9095</f>
        <v>9095</v>
      </c>
      <c r="F21" s="20">
        <f t="shared" si="3"/>
        <v>9095</v>
      </c>
      <c r="G21" s="21">
        <f t="shared" si="2"/>
        <v>10823.05</v>
      </c>
      <c r="I21" s="127"/>
      <c r="J21" s="127"/>
      <c r="K21" s="129"/>
    </row>
    <row r="22" spans="1:11" s="43" customFormat="1" ht="14.25">
      <c r="A22" s="44"/>
      <c r="B22" s="45" t="s">
        <v>37</v>
      </c>
      <c r="C22" s="17" t="s">
        <v>25</v>
      </c>
      <c r="D22" s="41">
        <v>6</v>
      </c>
      <c r="E22" s="42">
        <f>6620</f>
        <v>6620</v>
      </c>
      <c r="F22" s="20">
        <f t="shared" si="3"/>
        <v>39720</v>
      </c>
      <c r="G22" s="21">
        <f t="shared" si="2"/>
        <v>47266.799999999996</v>
      </c>
      <c r="I22" s="127"/>
      <c r="J22" s="127"/>
      <c r="K22" s="129"/>
    </row>
    <row r="23" spans="1:11" s="43" customFormat="1" ht="14.25">
      <c r="A23" s="44"/>
      <c r="B23" s="45" t="s">
        <v>38</v>
      </c>
      <c r="C23" s="17" t="s">
        <v>25</v>
      </c>
      <c r="D23" s="41">
        <v>6</v>
      </c>
      <c r="E23" s="42">
        <f>4790</f>
        <v>4790</v>
      </c>
      <c r="F23" s="20">
        <f>D23*E23</f>
        <v>28740</v>
      </c>
      <c r="G23" s="21">
        <f t="shared" si="2"/>
        <v>34200.6</v>
      </c>
      <c r="I23" s="127"/>
      <c r="J23" s="127"/>
      <c r="K23" s="129"/>
    </row>
    <row r="24" spans="1:11" s="43" customFormat="1" ht="14.25">
      <c r="A24" s="44"/>
      <c r="B24" s="45" t="s">
        <v>77</v>
      </c>
      <c r="C24" s="17" t="s">
        <v>25</v>
      </c>
      <c r="D24" s="41">
        <v>1</v>
      </c>
      <c r="E24" s="42">
        <f>19180</f>
        <v>19180</v>
      </c>
      <c r="F24" s="20">
        <f t="shared" si="3"/>
        <v>19180</v>
      </c>
      <c r="G24" s="21">
        <f t="shared" si="2"/>
        <v>22824.2</v>
      </c>
      <c r="I24" s="127"/>
      <c r="J24" s="127"/>
      <c r="K24" s="129"/>
    </row>
    <row r="25" spans="1:11" s="43" customFormat="1" ht="25.5">
      <c r="A25" s="44"/>
      <c r="B25" s="45" t="s">
        <v>95</v>
      </c>
      <c r="C25" s="17" t="s">
        <v>25</v>
      </c>
      <c r="D25" s="41">
        <v>1</v>
      </c>
      <c r="E25" s="42">
        <f>170100</f>
        <v>170100</v>
      </c>
      <c r="F25" s="20">
        <f t="shared" si="3"/>
        <v>170100</v>
      </c>
      <c r="G25" s="21">
        <f t="shared" si="2"/>
        <v>202419</v>
      </c>
      <c r="I25" s="127"/>
      <c r="J25" s="127"/>
      <c r="K25" s="129"/>
    </row>
    <row r="26" spans="1:11" s="43" customFormat="1" ht="14.25">
      <c r="A26" s="44"/>
      <c r="B26" s="45" t="s">
        <v>78</v>
      </c>
      <c r="C26" s="17" t="s">
        <v>25</v>
      </c>
      <c r="D26" s="41">
        <v>12</v>
      </c>
      <c r="E26" s="42">
        <f>2715</f>
        <v>2715</v>
      </c>
      <c r="F26" s="20">
        <f t="shared" si="3"/>
        <v>32580</v>
      </c>
      <c r="G26" s="21">
        <f t="shared" si="2"/>
        <v>38770.2</v>
      </c>
      <c r="I26" s="127"/>
      <c r="J26" s="127"/>
      <c r="K26" s="129"/>
    </row>
    <row r="27" spans="1:11" s="43" customFormat="1" ht="14.25">
      <c r="A27" s="44"/>
      <c r="B27" s="45" t="s">
        <v>79</v>
      </c>
      <c r="C27" s="17" t="s">
        <v>25</v>
      </c>
      <c r="D27" s="41">
        <v>3</v>
      </c>
      <c r="E27" s="42">
        <f>5050</f>
        <v>5050</v>
      </c>
      <c r="F27" s="20">
        <f t="shared" si="3"/>
        <v>15150</v>
      </c>
      <c r="G27" s="21">
        <f t="shared" si="2"/>
        <v>18028.5</v>
      </c>
      <c r="I27" s="127"/>
      <c r="J27" s="127"/>
      <c r="K27" s="129"/>
    </row>
    <row r="28" spans="1:11" s="43" customFormat="1" ht="14.25">
      <c r="A28" s="44"/>
      <c r="B28" s="45" t="s">
        <v>80</v>
      </c>
      <c r="C28" s="17" t="s">
        <v>25</v>
      </c>
      <c r="D28" s="41">
        <v>1</v>
      </c>
      <c r="E28" s="42">
        <f>16840</f>
        <v>16840</v>
      </c>
      <c r="F28" s="20">
        <f t="shared" si="3"/>
        <v>16840</v>
      </c>
      <c r="G28" s="21">
        <f t="shared" si="2"/>
        <v>20039.6</v>
      </c>
      <c r="I28" s="127"/>
      <c r="J28" s="127"/>
      <c r="K28" s="129"/>
    </row>
    <row r="29" spans="1:11" s="43" customFormat="1" ht="14.25">
      <c r="A29" s="44"/>
      <c r="B29" s="45" t="s">
        <v>81</v>
      </c>
      <c r="C29" s="17" t="s">
        <v>25</v>
      </c>
      <c r="D29" s="41">
        <v>1</v>
      </c>
      <c r="E29" s="42">
        <f>55300</f>
        <v>55300</v>
      </c>
      <c r="F29" s="20">
        <f t="shared" si="3"/>
        <v>55300</v>
      </c>
      <c r="G29" s="21">
        <f t="shared" si="2"/>
        <v>65807</v>
      </c>
      <c r="I29" s="127"/>
      <c r="J29" s="127"/>
      <c r="K29" s="129"/>
    </row>
    <row r="30" spans="1:11" s="43" customFormat="1" ht="14.25">
      <c r="A30" s="44"/>
      <c r="B30" s="45" t="s">
        <v>82</v>
      </c>
      <c r="C30" s="17" t="s">
        <v>25</v>
      </c>
      <c r="D30" s="41">
        <v>2</v>
      </c>
      <c r="E30" s="42">
        <f>22720</f>
        <v>22720</v>
      </c>
      <c r="F30" s="20">
        <f t="shared" si="3"/>
        <v>45440</v>
      </c>
      <c r="G30" s="21">
        <f t="shared" si="2"/>
        <v>54073.6</v>
      </c>
      <c r="I30" s="127"/>
      <c r="J30" s="127"/>
      <c r="K30" s="129"/>
    </row>
    <row r="31" spans="1:11" s="43" customFormat="1" ht="14.25">
      <c r="A31" s="44"/>
      <c r="B31" s="45" t="s">
        <v>83</v>
      </c>
      <c r="C31" s="17" t="s">
        <v>25</v>
      </c>
      <c r="D31" s="41">
        <v>1</v>
      </c>
      <c r="E31" s="42">
        <f>100200</f>
        <v>100200</v>
      </c>
      <c r="F31" s="20">
        <f t="shared" si="3"/>
        <v>100200</v>
      </c>
      <c r="G31" s="21">
        <f t="shared" si="2"/>
        <v>119238</v>
      </c>
      <c r="I31" s="127"/>
      <c r="J31" s="127"/>
      <c r="K31" s="129"/>
    </row>
    <row r="32" spans="1:11" s="43" customFormat="1" ht="14.25">
      <c r="A32" s="44"/>
      <c r="B32" s="45" t="s">
        <v>84</v>
      </c>
      <c r="C32" s="17" t="s">
        <v>25</v>
      </c>
      <c r="D32" s="41">
        <v>1</v>
      </c>
      <c r="E32" s="42">
        <f>6325</f>
        <v>6325</v>
      </c>
      <c r="F32" s="20">
        <f t="shared" si="3"/>
        <v>6325</v>
      </c>
      <c r="G32" s="21">
        <f t="shared" si="2"/>
        <v>7526.75</v>
      </c>
      <c r="I32" s="127"/>
      <c r="J32" s="127"/>
      <c r="K32" s="129"/>
    </row>
    <row r="33" spans="1:11" s="43" customFormat="1" ht="25.5">
      <c r="A33" s="44"/>
      <c r="B33" s="45" t="s">
        <v>85</v>
      </c>
      <c r="C33" s="17" t="s">
        <v>25</v>
      </c>
      <c r="D33" s="41">
        <v>1</v>
      </c>
      <c r="E33" s="42">
        <f>4940</f>
        <v>4940</v>
      </c>
      <c r="F33" s="20">
        <f>D33*E33</f>
        <v>4940</v>
      </c>
      <c r="G33" s="21">
        <f t="shared" si="2"/>
        <v>5878.599999999999</v>
      </c>
      <c r="I33" s="127"/>
      <c r="J33" s="127"/>
      <c r="K33" s="129"/>
    </row>
    <row r="34" spans="1:11" s="43" customFormat="1" ht="14.25">
      <c r="A34" s="44"/>
      <c r="B34" s="45" t="s">
        <v>86</v>
      </c>
      <c r="C34" s="17" t="s">
        <v>25</v>
      </c>
      <c r="D34" s="41">
        <v>1</v>
      </c>
      <c r="E34" s="42">
        <f>1192</f>
        <v>1192</v>
      </c>
      <c r="F34" s="20">
        <f>D34*E34</f>
        <v>1192</v>
      </c>
      <c r="G34" s="21">
        <f t="shared" si="2"/>
        <v>1418.48</v>
      </c>
      <c r="I34" s="127"/>
      <c r="J34" s="127"/>
      <c r="K34" s="129"/>
    </row>
    <row r="35" spans="1:11" s="43" customFormat="1" ht="14.25">
      <c r="A35" s="44"/>
      <c r="B35" s="45" t="s">
        <v>75</v>
      </c>
      <c r="C35" s="17" t="s">
        <v>25</v>
      </c>
      <c r="D35" s="41">
        <v>4</v>
      </c>
      <c r="E35" s="42">
        <f>4805</f>
        <v>4805</v>
      </c>
      <c r="F35" s="20">
        <f t="shared" si="3"/>
        <v>19220</v>
      </c>
      <c r="G35" s="21">
        <f t="shared" si="2"/>
        <v>22871.8</v>
      </c>
      <c r="I35" s="127"/>
      <c r="J35" s="127"/>
      <c r="K35" s="129"/>
    </row>
    <row r="36" spans="1:11" s="43" customFormat="1" ht="14.25">
      <c r="A36" s="44"/>
      <c r="B36" s="45" t="s">
        <v>87</v>
      </c>
      <c r="C36" s="17" t="s">
        <v>25</v>
      </c>
      <c r="D36" s="41">
        <v>4</v>
      </c>
      <c r="E36" s="42">
        <f>4020</f>
        <v>4020</v>
      </c>
      <c r="F36" s="20">
        <f t="shared" si="3"/>
        <v>16080</v>
      </c>
      <c r="G36" s="21">
        <f t="shared" si="2"/>
        <v>19135.2</v>
      </c>
      <c r="I36" s="127"/>
      <c r="J36" s="127"/>
      <c r="K36" s="129"/>
    </row>
    <row r="37" spans="1:11" s="43" customFormat="1" ht="14.25">
      <c r="A37" s="44"/>
      <c r="B37" s="45" t="s">
        <v>88</v>
      </c>
      <c r="C37" s="17" t="s">
        <v>25</v>
      </c>
      <c r="D37" s="41">
        <v>1</v>
      </c>
      <c r="E37" s="42">
        <f>13410</f>
        <v>13410</v>
      </c>
      <c r="F37" s="20">
        <f t="shared" si="3"/>
        <v>13410</v>
      </c>
      <c r="G37" s="21">
        <f t="shared" si="2"/>
        <v>15957.9</v>
      </c>
      <c r="I37" s="127"/>
      <c r="J37" s="127"/>
      <c r="K37" s="129"/>
    </row>
    <row r="38" spans="1:11" s="43" customFormat="1" ht="14.25">
      <c r="A38" s="44"/>
      <c r="B38" s="45" t="s">
        <v>89</v>
      </c>
      <c r="C38" s="17" t="s">
        <v>25</v>
      </c>
      <c r="D38" s="41">
        <v>1</v>
      </c>
      <c r="E38" s="42">
        <f>34940</f>
        <v>34940</v>
      </c>
      <c r="F38" s="20">
        <f t="shared" si="3"/>
        <v>34940</v>
      </c>
      <c r="G38" s="21">
        <f t="shared" si="2"/>
        <v>41578.6</v>
      </c>
      <c r="I38" s="127"/>
      <c r="J38" s="127"/>
      <c r="K38" s="129"/>
    </row>
    <row r="39" spans="1:11" s="43" customFormat="1" ht="14.25">
      <c r="A39" s="44"/>
      <c r="B39" s="45" t="s">
        <v>94</v>
      </c>
      <c r="C39" s="17" t="s">
        <v>25</v>
      </c>
      <c r="D39" s="41">
        <v>1</v>
      </c>
      <c r="E39" s="42">
        <f>6200</f>
        <v>6200</v>
      </c>
      <c r="F39" s="20">
        <f t="shared" si="3"/>
        <v>6200</v>
      </c>
      <c r="G39" s="21">
        <f t="shared" si="2"/>
        <v>7378</v>
      </c>
      <c r="I39" s="127"/>
      <c r="J39" s="127"/>
      <c r="K39" s="129"/>
    </row>
    <row r="40" spans="1:11" s="43" customFormat="1" ht="14.25">
      <c r="A40" s="44"/>
      <c r="B40" s="45" t="s">
        <v>54</v>
      </c>
      <c r="C40" s="17" t="s">
        <v>25</v>
      </c>
      <c r="D40" s="41">
        <v>1</v>
      </c>
      <c r="E40" s="42">
        <f>2060</f>
        <v>2060</v>
      </c>
      <c r="F40" s="20">
        <f>D40*E40</f>
        <v>2060</v>
      </c>
      <c r="G40" s="21">
        <f t="shared" si="2"/>
        <v>2451.4</v>
      </c>
      <c r="I40" s="127"/>
      <c r="J40" s="127"/>
      <c r="K40" s="129"/>
    </row>
    <row r="41" spans="1:11" s="43" customFormat="1" ht="38.25">
      <c r="A41" s="44"/>
      <c r="B41" s="45" t="s">
        <v>96</v>
      </c>
      <c r="C41" s="17" t="s">
        <v>25</v>
      </c>
      <c r="D41" s="41">
        <v>1</v>
      </c>
      <c r="E41" s="42">
        <f>20200</f>
        <v>20200</v>
      </c>
      <c r="F41" s="20">
        <f>D41*E41</f>
        <v>20200</v>
      </c>
      <c r="G41" s="21">
        <f t="shared" si="2"/>
        <v>24038</v>
      </c>
      <c r="I41" s="127"/>
      <c r="J41" s="127"/>
      <c r="K41" s="129"/>
    </row>
    <row r="42" spans="1:11" s="43" customFormat="1" ht="14.25">
      <c r="A42" s="44"/>
      <c r="B42" s="45" t="s">
        <v>90</v>
      </c>
      <c r="C42" s="17" t="s">
        <v>25</v>
      </c>
      <c r="D42" s="41">
        <v>1</v>
      </c>
      <c r="E42" s="42">
        <f>17520</f>
        <v>17520</v>
      </c>
      <c r="F42" s="20">
        <f t="shared" si="3"/>
        <v>17520</v>
      </c>
      <c r="G42" s="21">
        <f t="shared" si="2"/>
        <v>20848.8</v>
      </c>
      <c r="I42" s="127"/>
      <c r="J42" s="127"/>
      <c r="K42" s="129"/>
    </row>
    <row r="43" spans="1:11" s="43" customFormat="1" ht="14.25">
      <c r="A43" s="44"/>
      <c r="B43" s="45" t="s">
        <v>91</v>
      </c>
      <c r="C43" s="17" t="s">
        <v>25</v>
      </c>
      <c r="D43" s="41">
        <v>3</v>
      </c>
      <c r="E43" s="42">
        <f>3960</f>
        <v>3960</v>
      </c>
      <c r="F43" s="20">
        <f t="shared" si="3"/>
        <v>11880</v>
      </c>
      <c r="G43" s="21">
        <f t="shared" si="2"/>
        <v>14137.199999999999</v>
      </c>
      <c r="I43" s="127"/>
      <c r="J43" s="127"/>
      <c r="K43" s="129"/>
    </row>
    <row r="44" spans="1:11" s="43" customFormat="1" ht="14.25">
      <c r="A44" s="44"/>
      <c r="B44" s="45" t="s">
        <v>92</v>
      </c>
      <c r="C44" s="17" t="s">
        <v>25</v>
      </c>
      <c r="D44" s="41">
        <v>1</v>
      </c>
      <c r="E44" s="42">
        <f>26260</f>
        <v>26260</v>
      </c>
      <c r="F44" s="20">
        <f t="shared" si="3"/>
        <v>26260</v>
      </c>
      <c r="G44" s="21">
        <f t="shared" si="2"/>
        <v>31249.399999999998</v>
      </c>
      <c r="I44" s="127"/>
      <c r="J44" s="127"/>
      <c r="K44" s="129"/>
    </row>
    <row r="45" spans="1:11" s="43" customFormat="1" ht="14.25">
      <c r="A45" s="44"/>
      <c r="B45" s="45" t="s">
        <v>93</v>
      </c>
      <c r="C45" s="17" t="s">
        <v>25</v>
      </c>
      <c r="D45" s="41">
        <v>1</v>
      </c>
      <c r="E45" s="42">
        <f>17670</f>
        <v>17670</v>
      </c>
      <c r="F45" s="20">
        <f t="shared" si="3"/>
        <v>17670</v>
      </c>
      <c r="G45" s="21">
        <f t="shared" si="2"/>
        <v>21027.3</v>
      </c>
      <c r="I45" s="127"/>
      <c r="J45" s="127"/>
      <c r="K45" s="129"/>
    </row>
    <row r="46" spans="1:11" s="43" customFormat="1" ht="14.25">
      <c r="A46" s="44"/>
      <c r="B46" s="45" t="s">
        <v>39</v>
      </c>
      <c r="C46" s="17" t="s">
        <v>25</v>
      </c>
      <c r="D46" s="41">
        <v>1</v>
      </c>
      <c r="E46" s="42">
        <f>22430</f>
        <v>22430</v>
      </c>
      <c r="F46" s="20">
        <f t="shared" si="3"/>
        <v>22430</v>
      </c>
      <c r="G46" s="21">
        <f t="shared" si="2"/>
        <v>26691.699999999997</v>
      </c>
      <c r="I46" s="127"/>
      <c r="J46" s="127"/>
      <c r="K46" s="129"/>
    </row>
    <row r="47" spans="1:11" s="43" customFormat="1" ht="14.25">
      <c r="A47" s="44"/>
      <c r="B47" s="45" t="s">
        <v>40</v>
      </c>
      <c r="C47" s="17" t="s">
        <v>25</v>
      </c>
      <c r="D47" s="41">
        <v>1</v>
      </c>
      <c r="E47" s="42">
        <f>6735</f>
        <v>6735</v>
      </c>
      <c r="F47" s="20">
        <f t="shared" si="3"/>
        <v>6735</v>
      </c>
      <c r="G47" s="21">
        <f t="shared" si="2"/>
        <v>8014.65</v>
      </c>
      <c r="I47" s="127"/>
      <c r="J47" s="127"/>
      <c r="K47" s="129"/>
    </row>
    <row r="48" spans="1:11" s="43" customFormat="1" ht="14.25">
      <c r="A48" s="44"/>
      <c r="B48" s="52" t="s">
        <v>68</v>
      </c>
      <c r="C48" s="17"/>
      <c r="D48" s="41"/>
      <c r="E48" s="42"/>
      <c r="F48" s="20"/>
      <c r="G48" s="21"/>
      <c r="I48" s="127"/>
      <c r="J48" s="127"/>
      <c r="K48" s="129"/>
    </row>
    <row r="49" spans="1:11" s="43" customFormat="1" ht="14.25">
      <c r="A49" s="44"/>
      <c r="B49" s="45" t="s">
        <v>69</v>
      </c>
      <c r="C49" s="17" t="s">
        <v>25</v>
      </c>
      <c r="D49" s="41">
        <v>1</v>
      </c>
      <c r="E49" s="42">
        <f>125900</f>
        <v>125900</v>
      </c>
      <c r="F49" s="20">
        <f>D49*E49</f>
        <v>125900</v>
      </c>
      <c r="G49" s="21">
        <f t="shared" si="2"/>
        <v>149821</v>
      </c>
      <c r="I49" s="127"/>
      <c r="J49" s="127"/>
      <c r="K49" s="129"/>
    </row>
    <row r="50" spans="1:11" s="43" customFormat="1" ht="14.25">
      <c r="A50" s="44"/>
      <c r="B50" s="52" t="s">
        <v>32</v>
      </c>
      <c r="C50" s="17"/>
      <c r="D50" s="41"/>
      <c r="E50" s="42"/>
      <c r="F50" s="20"/>
      <c r="G50" s="21"/>
      <c r="I50" s="127"/>
      <c r="J50" s="127"/>
      <c r="K50" s="129"/>
    </row>
    <row r="51" spans="1:11" s="43" customFormat="1" ht="14.25">
      <c r="A51" s="44"/>
      <c r="B51" s="45" t="s">
        <v>97</v>
      </c>
      <c r="C51" s="17" t="s">
        <v>25</v>
      </c>
      <c r="D51" s="41">
        <v>4</v>
      </c>
      <c r="E51" s="42">
        <f>8000</f>
        <v>8000</v>
      </c>
      <c r="F51" s="20">
        <f>D51*E51</f>
        <v>32000</v>
      </c>
      <c r="G51" s="21">
        <f t="shared" si="2"/>
        <v>38080</v>
      </c>
      <c r="I51" s="127"/>
      <c r="J51" s="127"/>
      <c r="K51" s="129"/>
    </row>
    <row r="52" spans="1:11" s="43" customFormat="1" ht="14.25">
      <c r="A52" s="44"/>
      <c r="B52" s="45" t="s">
        <v>98</v>
      </c>
      <c r="C52" s="17" t="s">
        <v>25</v>
      </c>
      <c r="D52" s="41">
        <v>1</v>
      </c>
      <c r="E52" s="42">
        <f>5035</f>
        <v>5035</v>
      </c>
      <c r="F52" s="20">
        <f aca="true" t="shared" si="4" ref="F52:F65">D52*E52</f>
        <v>5035</v>
      </c>
      <c r="G52" s="21">
        <f t="shared" si="2"/>
        <v>5991.65</v>
      </c>
      <c r="I52" s="127"/>
      <c r="J52" s="127"/>
      <c r="K52" s="129"/>
    </row>
    <row r="53" spans="1:11" s="43" customFormat="1" ht="14.25">
      <c r="A53" s="44"/>
      <c r="B53" s="45" t="s">
        <v>41</v>
      </c>
      <c r="C53" s="17" t="s">
        <v>25</v>
      </c>
      <c r="D53" s="41">
        <v>1</v>
      </c>
      <c r="E53" s="42">
        <f>2210</f>
        <v>2210</v>
      </c>
      <c r="F53" s="20">
        <f t="shared" si="4"/>
        <v>2210</v>
      </c>
      <c r="G53" s="21">
        <f t="shared" si="2"/>
        <v>2629.9</v>
      </c>
      <c r="I53" s="127"/>
      <c r="J53" s="127"/>
      <c r="K53" s="129"/>
    </row>
    <row r="54" spans="1:11" s="43" customFormat="1" ht="14.25">
      <c r="A54" s="44"/>
      <c r="B54" s="45" t="s">
        <v>76</v>
      </c>
      <c r="C54" s="17" t="s">
        <v>25</v>
      </c>
      <c r="D54" s="41">
        <v>1</v>
      </c>
      <c r="E54" s="42">
        <f>9095</f>
        <v>9095</v>
      </c>
      <c r="F54" s="20">
        <f t="shared" si="4"/>
        <v>9095</v>
      </c>
      <c r="G54" s="21">
        <f t="shared" si="2"/>
        <v>10823.05</v>
      </c>
      <c r="I54" s="127"/>
      <c r="J54" s="127"/>
      <c r="K54" s="129"/>
    </row>
    <row r="55" spans="1:11" s="43" customFormat="1" ht="25.5">
      <c r="A55" s="44"/>
      <c r="B55" s="45" t="s">
        <v>70</v>
      </c>
      <c r="C55" s="17" t="s">
        <v>25</v>
      </c>
      <c r="D55" s="41">
        <v>1</v>
      </c>
      <c r="E55" s="42">
        <f>15810</f>
        <v>15810</v>
      </c>
      <c r="F55" s="20">
        <f t="shared" si="4"/>
        <v>15810</v>
      </c>
      <c r="G55" s="21">
        <f t="shared" si="2"/>
        <v>18813.899999999998</v>
      </c>
      <c r="I55" s="127"/>
      <c r="J55" s="127"/>
      <c r="K55" s="129"/>
    </row>
    <row r="56" spans="1:11" s="43" customFormat="1" ht="14.25">
      <c r="A56" s="44"/>
      <c r="B56" s="45" t="s">
        <v>77</v>
      </c>
      <c r="C56" s="17" t="s">
        <v>25</v>
      </c>
      <c r="D56" s="41">
        <v>1</v>
      </c>
      <c r="E56" s="42">
        <f>19180</f>
        <v>19180</v>
      </c>
      <c r="F56" s="20">
        <f t="shared" si="4"/>
        <v>19180</v>
      </c>
      <c r="G56" s="21">
        <f t="shared" si="2"/>
        <v>22824.2</v>
      </c>
      <c r="I56" s="127"/>
      <c r="J56" s="127"/>
      <c r="K56" s="129"/>
    </row>
    <row r="57" spans="1:11" s="43" customFormat="1" ht="51">
      <c r="A57" s="44"/>
      <c r="B57" s="46" t="s">
        <v>103</v>
      </c>
      <c r="C57" s="47" t="s">
        <v>25</v>
      </c>
      <c r="D57" s="48">
        <v>1</v>
      </c>
      <c r="E57" s="49">
        <f>280500</f>
        <v>280500</v>
      </c>
      <c r="F57" s="50">
        <f t="shared" si="4"/>
        <v>280500</v>
      </c>
      <c r="G57" s="51">
        <f t="shared" si="2"/>
        <v>333795</v>
      </c>
      <c r="I57" s="127"/>
      <c r="J57" s="127"/>
      <c r="K57" s="129"/>
    </row>
    <row r="58" spans="1:11" s="43" customFormat="1" ht="25.5">
      <c r="A58" s="44"/>
      <c r="B58" s="45" t="s">
        <v>99</v>
      </c>
      <c r="C58" s="17" t="s">
        <v>25</v>
      </c>
      <c r="D58" s="41">
        <v>1</v>
      </c>
      <c r="E58" s="42">
        <f>38190</f>
        <v>38190</v>
      </c>
      <c r="F58" s="20">
        <f t="shared" si="4"/>
        <v>38190</v>
      </c>
      <c r="G58" s="21">
        <f t="shared" si="2"/>
        <v>45446.1</v>
      </c>
      <c r="I58" s="127"/>
      <c r="J58" s="127"/>
      <c r="K58" s="129"/>
    </row>
    <row r="59" spans="1:11" s="43" customFormat="1" ht="14.25">
      <c r="A59" s="44"/>
      <c r="B59" s="45" t="s">
        <v>42</v>
      </c>
      <c r="C59" s="17" t="s">
        <v>25</v>
      </c>
      <c r="D59" s="41">
        <v>1</v>
      </c>
      <c r="E59" s="42">
        <f>266500</f>
        <v>266500</v>
      </c>
      <c r="F59" s="20">
        <f t="shared" si="4"/>
        <v>266500</v>
      </c>
      <c r="G59" s="21">
        <f t="shared" si="2"/>
        <v>317135</v>
      </c>
      <c r="I59" s="127"/>
      <c r="J59" s="127"/>
      <c r="K59" s="129"/>
    </row>
    <row r="60" spans="1:11" s="43" customFormat="1" ht="14.25">
      <c r="A60" s="44"/>
      <c r="B60" s="45" t="s">
        <v>52</v>
      </c>
      <c r="C60" s="17" t="s">
        <v>25</v>
      </c>
      <c r="D60" s="41">
        <v>5</v>
      </c>
      <c r="E60" s="42">
        <f>6515</f>
        <v>6515</v>
      </c>
      <c r="F60" s="20">
        <f t="shared" si="4"/>
        <v>32575</v>
      </c>
      <c r="G60" s="21">
        <f t="shared" si="2"/>
        <v>38764.25</v>
      </c>
      <c r="I60" s="127"/>
      <c r="J60" s="127"/>
      <c r="K60" s="129"/>
    </row>
    <row r="61" spans="1:11" s="43" customFormat="1" ht="14.25">
      <c r="A61" s="44"/>
      <c r="B61" s="45" t="s">
        <v>75</v>
      </c>
      <c r="C61" s="17" t="s">
        <v>25</v>
      </c>
      <c r="D61" s="41">
        <v>6</v>
      </c>
      <c r="E61" s="42">
        <f>4805</f>
        <v>4805</v>
      </c>
      <c r="F61" s="20">
        <f t="shared" si="4"/>
        <v>28830</v>
      </c>
      <c r="G61" s="21">
        <f t="shared" si="2"/>
        <v>34307.7</v>
      </c>
      <c r="I61" s="127"/>
      <c r="J61" s="127"/>
      <c r="K61" s="129"/>
    </row>
    <row r="62" spans="1:11" s="43" customFormat="1" ht="14.25">
      <c r="A62" s="44"/>
      <c r="B62" s="45" t="s">
        <v>100</v>
      </c>
      <c r="C62" s="17" t="s">
        <v>25</v>
      </c>
      <c r="D62" s="41">
        <v>4</v>
      </c>
      <c r="E62" s="42">
        <f>4020</f>
        <v>4020</v>
      </c>
      <c r="F62" s="20">
        <f t="shared" si="4"/>
        <v>16080</v>
      </c>
      <c r="G62" s="21">
        <f t="shared" si="2"/>
        <v>19135.2</v>
      </c>
      <c r="I62" s="127"/>
      <c r="J62" s="127"/>
      <c r="K62" s="129"/>
    </row>
    <row r="63" spans="1:11" s="43" customFormat="1" ht="25.5">
      <c r="A63" s="44"/>
      <c r="B63" s="45" t="s">
        <v>101</v>
      </c>
      <c r="C63" s="17" t="s">
        <v>25</v>
      </c>
      <c r="D63" s="41">
        <v>1</v>
      </c>
      <c r="E63" s="42">
        <f>16280</f>
        <v>16280</v>
      </c>
      <c r="F63" s="20">
        <f>D63*E63</f>
        <v>16280</v>
      </c>
      <c r="G63" s="21">
        <f>F63*1.19</f>
        <v>19373.2</v>
      </c>
      <c r="I63" s="127"/>
      <c r="J63" s="127"/>
      <c r="K63" s="129"/>
    </row>
    <row r="64" spans="1:11" s="43" customFormat="1" ht="14.25">
      <c r="A64" s="44"/>
      <c r="B64" s="45" t="s">
        <v>43</v>
      </c>
      <c r="C64" s="17" t="s">
        <v>25</v>
      </c>
      <c r="D64" s="41">
        <v>1</v>
      </c>
      <c r="E64" s="42">
        <f>3755</f>
        <v>3755</v>
      </c>
      <c r="F64" s="20">
        <f t="shared" si="4"/>
        <v>3755</v>
      </c>
      <c r="G64" s="21">
        <f t="shared" si="2"/>
        <v>4468.45</v>
      </c>
      <c r="I64" s="127"/>
      <c r="J64" s="127"/>
      <c r="K64" s="129"/>
    </row>
    <row r="65" spans="1:11" s="43" customFormat="1" ht="14.25">
      <c r="A65" s="44"/>
      <c r="B65" s="109" t="s">
        <v>102</v>
      </c>
      <c r="C65" s="17" t="s">
        <v>25</v>
      </c>
      <c r="D65" s="41">
        <v>14</v>
      </c>
      <c r="E65" s="42">
        <f>1515</f>
        <v>1515</v>
      </c>
      <c r="F65" s="20">
        <f t="shared" si="4"/>
        <v>21210</v>
      </c>
      <c r="G65" s="21">
        <f t="shared" si="2"/>
        <v>25239.899999999998</v>
      </c>
      <c r="I65" s="127"/>
      <c r="J65" s="127"/>
      <c r="K65" s="129"/>
    </row>
    <row r="66" spans="1:11" s="43" customFormat="1" ht="14.25">
      <c r="A66" s="44"/>
      <c r="B66" s="52" t="s">
        <v>33</v>
      </c>
      <c r="C66" s="17"/>
      <c r="D66" s="41"/>
      <c r="E66" s="42"/>
      <c r="F66" s="20"/>
      <c r="G66" s="21"/>
      <c r="I66" s="127"/>
      <c r="J66" s="127"/>
      <c r="K66" s="129"/>
    </row>
    <row r="67" spans="1:11" s="43" customFormat="1" ht="14.25">
      <c r="A67" s="44"/>
      <c r="B67" s="45" t="s">
        <v>97</v>
      </c>
      <c r="C67" s="17" t="s">
        <v>25</v>
      </c>
      <c r="D67" s="41">
        <v>4</v>
      </c>
      <c r="E67" s="42">
        <f>8000</f>
        <v>8000</v>
      </c>
      <c r="F67" s="20">
        <f>D67*E67</f>
        <v>32000</v>
      </c>
      <c r="G67" s="21">
        <f t="shared" si="2"/>
        <v>38080</v>
      </c>
      <c r="I67" s="127"/>
      <c r="J67" s="127"/>
      <c r="K67" s="129"/>
    </row>
    <row r="68" spans="1:11" s="43" customFormat="1" ht="14.25">
      <c r="A68" s="44"/>
      <c r="B68" s="45" t="s">
        <v>98</v>
      </c>
      <c r="C68" s="17" t="s">
        <v>25</v>
      </c>
      <c r="D68" s="41">
        <v>1</v>
      </c>
      <c r="E68" s="42">
        <f>5035</f>
        <v>5035</v>
      </c>
      <c r="F68" s="20">
        <f>D68*E68</f>
        <v>5035</v>
      </c>
      <c r="G68" s="21">
        <f t="shared" si="2"/>
        <v>5991.65</v>
      </c>
      <c r="I68" s="127"/>
      <c r="J68" s="127"/>
      <c r="K68" s="129"/>
    </row>
    <row r="69" spans="1:11" s="43" customFormat="1" ht="14.25">
      <c r="A69" s="44"/>
      <c r="B69" s="45" t="s">
        <v>41</v>
      </c>
      <c r="C69" s="17" t="s">
        <v>25</v>
      </c>
      <c r="D69" s="41">
        <v>1</v>
      </c>
      <c r="E69" s="42">
        <f>2210</f>
        <v>2210</v>
      </c>
      <c r="F69" s="20">
        <f>D69*E69</f>
        <v>2210</v>
      </c>
      <c r="G69" s="21">
        <f t="shared" si="2"/>
        <v>2629.9</v>
      </c>
      <c r="I69" s="127"/>
      <c r="J69" s="127"/>
      <c r="K69" s="129"/>
    </row>
    <row r="70" spans="1:11" s="43" customFormat="1" ht="14.25">
      <c r="A70" s="44"/>
      <c r="B70" s="45" t="s">
        <v>104</v>
      </c>
      <c r="C70" s="17" t="s">
        <v>25</v>
      </c>
      <c r="D70" s="41">
        <v>2</v>
      </c>
      <c r="E70" s="42">
        <f>49220</f>
        <v>49220</v>
      </c>
      <c r="F70" s="20">
        <f aca="true" t="shared" si="5" ref="F70:F84">D70*E70</f>
        <v>98440</v>
      </c>
      <c r="G70" s="21">
        <f t="shared" si="2"/>
        <v>117143.59999999999</v>
      </c>
      <c r="I70" s="127"/>
      <c r="J70" s="127"/>
      <c r="K70" s="129"/>
    </row>
    <row r="71" spans="1:11" s="43" customFormat="1" ht="14.25">
      <c r="A71" s="44"/>
      <c r="B71" s="45" t="s">
        <v>37</v>
      </c>
      <c r="C71" s="17" t="s">
        <v>25</v>
      </c>
      <c r="D71" s="41">
        <v>18</v>
      </c>
      <c r="E71" s="42">
        <f>6620</f>
        <v>6620</v>
      </c>
      <c r="F71" s="20">
        <f t="shared" si="5"/>
        <v>119160</v>
      </c>
      <c r="G71" s="21">
        <f t="shared" si="2"/>
        <v>141800.4</v>
      </c>
      <c r="I71" s="127"/>
      <c r="J71" s="127"/>
      <c r="K71" s="129"/>
    </row>
    <row r="72" spans="1:11" s="43" customFormat="1" ht="14.25">
      <c r="A72" s="44"/>
      <c r="B72" s="45" t="s">
        <v>77</v>
      </c>
      <c r="C72" s="17" t="s">
        <v>25</v>
      </c>
      <c r="D72" s="41">
        <v>1</v>
      </c>
      <c r="E72" s="42">
        <f>19180</f>
        <v>19180</v>
      </c>
      <c r="F72" s="20">
        <f t="shared" si="5"/>
        <v>19180</v>
      </c>
      <c r="G72" s="21">
        <f t="shared" si="2"/>
        <v>22824.2</v>
      </c>
      <c r="I72" s="127"/>
      <c r="J72" s="127"/>
      <c r="K72" s="129"/>
    </row>
    <row r="73" spans="1:11" s="43" customFormat="1" ht="63.75">
      <c r="A73" s="44"/>
      <c r="B73" s="45" t="s">
        <v>106</v>
      </c>
      <c r="C73" s="17" t="s">
        <v>25</v>
      </c>
      <c r="D73" s="41">
        <v>1</v>
      </c>
      <c r="E73" s="42">
        <f>283000</f>
        <v>283000</v>
      </c>
      <c r="F73" s="20">
        <f t="shared" si="5"/>
        <v>283000</v>
      </c>
      <c r="G73" s="21">
        <f t="shared" si="2"/>
        <v>336770</v>
      </c>
      <c r="I73" s="127"/>
      <c r="J73" s="127"/>
      <c r="K73" s="129"/>
    </row>
    <row r="74" spans="1:11" s="43" customFormat="1" ht="25.5">
      <c r="A74" s="44"/>
      <c r="B74" s="45" t="s">
        <v>107</v>
      </c>
      <c r="C74" s="17" t="s">
        <v>25</v>
      </c>
      <c r="D74" s="41">
        <v>1</v>
      </c>
      <c r="E74" s="42">
        <f>2375</f>
        <v>2375</v>
      </c>
      <c r="F74" s="20">
        <f t="shared" si="5"/>
        <v>2375</v>
      </c>
      <c r="G74" s="21">
        <f t="shared" si="2"/>
        <v>2826.25</v>
      </c>
      <c r="I74" s="127"/>
      <c r="J74" s="127"/>
      <c r="K74" s="129"/>
    </row>
    <row r="75" spans="1:11" s="43" customFormat="1" ht="14.25">
      <c r="A75" s="44"/>
      <c r="B75" s="45" t="s">
        <v>108</v>
      </c>
      <c r="C75" s="17" t="s">
        <v>25</v>
      </c>
      <c r="D75" s="41">
        <v>1</v>
      </c>
      <c r="E75" s="42">
        <f>3325</f>
        <v>3325</v>
      </c>
      <c r="F75" s="20">
        <f t="shared" si="5"/>
        <v>3325</v>
      </c>
      <c r="G75" s="21">
        <f t="shared" si="2"/>
        <v>3956.75</v>
      </c>
      <c r="I75" s="127"/>
      <c r="J75" s="127"/>
      <c r="K75" s="129"/>
    </row>
    <row r="76" spans="1:11" s="43" customFormat="1" ht="14.25">
      <c r="A76" s="44"/>
      <c r="B76" s="45" t="s">
        <v>109</v>
      </c>
      <c r="C76" s="17" t="s">
        <v>25</v>
      </c>
      <c r="D76" s="41">
        <v>1</v>
      </c>
      <c r="E76" s="42">
        <f>2325</f>
        <v>2325</v>
      </c>
      <c r="F76" s="20">
        <f t="shared" si="5"/>
        <v>2325</v>
      </c>
      <c r="G76" s="21">
        <f t="shared" si="2"/>
        <v>2766.75</v>
      </c>
      <c r="I76" s="127"/>
      <c r="J76" s="127"/>
      <c r="K76" s="129"/>
    </row>
    <row r="77" spans="1:11" s="43" customFormat="1" ht="14.25">
      <c r="A77" s="44"/>
      <c r="B77" s="45" t="s">
        <v>55</v>
      </c>
      <c r="C77" s="17" t="s">
        <v>25</v>
      </c>
      <c r="D77" s="41">
        <v>6</v>
      </c>
      <c r="E77" s="42">
        <f>833</f>
        <v>833</v>
      </c>
      <c r="F77" s="20">
        <f t="shared" si="5"/>
        <v>4998</v>
      </c>
      <c r="G77" s="21">
        <f t="shared" si="2"/>
        <v>5947.62</v>
      </c>
      <c r="I77" s="127"/>
      <c r="J77" s="127"/>
      <c r="K77" s="129"/>
    </row>
    <row r="78" spans="1:11" s="43" customFormat="1" ht="14.25">
      <c r="A78" s="44"/>
      <c r="B78" s="45" t="s">
        <v>56</v>
      </c>
      <c r="C78" s="17" t="s">
        <v>25</v>
      </c>
      <c r="D78" s="41">
        <v>1</v>
      </c>
      <c r="E78" s="42">
        <f>1697</f>
        <v>1697</v>
      </c>
      <c r="F78" s="20">
        <f>D78*E78</f>
        <v>1697</v>
      </c>
      <c r="G78" s="21">
        <f t="shared" si="2"/>
        <v>2019.4299999999998</v>
      </c>
      <c r="I78" s="127"/>
      <c r="J78" s="127"/>
      <c r="K78" s="129"/>
    </row>
    <row r="79" spans="1:11" s="43" customFormat="1" ht="14.25">
      <c r="A79" s="44"/>
      <c r="B79" s="39" t="s">
        <v>57</v>
      </c>
      <c r="C79" s="17" t="s">
        <v>25</v>
      </c>
      <c r="D79" s="41">
        <v>1</v>
      </c>
      <c r="E79" s="42">
        <f>212</f>
        <v>212</v>
      </c>
      <c r="F79" s="20">
        <f>D79*E79</f>
        <v>212</v>
      </c>
      <c r="G79" s="21">
        <f t="shared" si="2"/>
        <v>252.28</v>
      </c>
      <c r="I79" s="127"/>
      <c r="J79" s="127"/>
      <c r="K79" s="129"/>
    </row>
    <row r="80" spans="1:11" s="43" customFormat="1" ht="14.25">
      <c r="A80" s="44"/>
      <c r="B80" s="45" t="s">
        <v>75</v>
      </c>
      <c r="C80" s="17" t="s">
        <v>25</v>
      </c>
      <c r="D80" s="41">
        <v>5</v>
      </c>
      <c r="E80" s="42">
        <f>4805</f>
        <v>4805</v>
      </c>
      <c r="F80" s="20">
        <f t="shared" si="5"/>
        <v>24025</v>
      </c>
      <c r="G80" s="21">
        <f t="shared" si="2"/>
        <v>28589.75</v>
      </c>
      <c r="I80" s="127"/>
      <c r="J80" s="127"/>
      <c r="K80" s="129"/>
    </row>
    <row r="81" spans="1:11" s="43" customFormat="1" ht="14.25">
      <c r="A81" s="44"/>
      <c r="B81" s="45" t="s">
        <v>75</v>
      </c>
      <c r="C81" s="17" t="s">
        <v>25</v>
      </c>
      <c r="D81" s="41">
        <v>6</v>
      </c>
      <c r="E81" s="42">
        <f>4805</f>
        <v>4805</v>
      </c>
      <c r="F81" s="20">
        <f>D81*E81</f>
        <v>28830</v>
      </c>
      <c r="G81" s="21">
        <f t="shared" si="2"/>
        <v>34307.7</v>
      </c>
      <c r="I81" s="127"/>
      <c r="J81" s="127"/>
      <c r="K81" s="129"/>
    </row>
    <row r="82" spans="1:11" s="43" customFormat="1" ht="14.25">
      <c r="A82" s="44"/>
      <c r="B82" s="39" t="s">
        <v>53</v>
      </c>
      <c r="C82" s="17" t="s">
        <v>25</v>
      </c>
      <c r="D82" s="41">
        <v>1</v>
      </c>
      <c r="E82" s="42">
        <f>22430</f>
        <v>22430</v>
      </c>
      <c r="F82" s="20">
        <f>D82*E82</f>
        <v>22430</v>
      </c>
      <c r="G82" s="21">
        <f t="shared" si="2"/>
        <v>26691.699999999997</v>
      </c>
      <c r="I82" s="127"/>
      <c r="J82" s="127"/>
      <c r="K82" s="129"/>
    </row>
    <row r="83" spans="1:11" s="43" customFormat="1" ht="14.25">
      <c r="A83" s="44"/>
      <c r="B83" s="45" t="s">
        <v>40</v>
      </c>
      <c r="C83" s="17" t="s">
        <v>25</v>
      </c>
      <c r="D83" s="41">
        <v>1</v>
      </c>
      <c r="E83" s="42">
        <f>6735</f>
        <v>6735</v>
      </c>
      <c r="F83" s="20">
        <f>D83*E83</f>
        <v>6735</v>
      </c>
      <c r="G83" s="21">
        <f t="shared" si="2"/>
        <v>8014.65</v>
      </c>
      <c r="I83" s="127"/>
      <c r="J83" s="127"/>
      <c r="K83" s="129"/>
    </row>
    <row r="84" spans="1:11" s="43" customFormat="1" ht="25.5">
      <c r="A84" s="44"/>
      <c r="B84" s="137" t="s">
        <v>105</v>
      </c>
      <c r="C84" s="17" t="s">
        <v>25</v>
      </c>
      <c r="D84" s="41">
        <v>1</v>
      </c>
      <c r="E84" s="42">
        <f>16660</f>
        <v>16660</v>
      </c>
      <c r="F84" s="20">
        <f t="shared" si="5"/>
        <v>16660</v>
      </c>
      <c r="G84" s="21">
        <f t="shared" si="2"/>
        <v>19825.399999999998</v>
      </c>
      <c r="I84" s="127"/>
      <c r="J84" s="127"/>
      <c r="K84" s="129"/>
    </row>
    <row r="85" spans="1:11" s="43" customFormat="1" ht="25.5">
      <c r="A85" s="44"/>
      <c r="B85" s="45" t="s">
        <v>101</v>
      </c>
      <c r="C85" s="17" t="s">
        <v>25</v>
      </c>
      <c r="D85" s="41">
        <v>2</v>
      </c>
      <c r="E85" s="42">
        <f>16280</f>
        <v>16280</v>
      </c>
      <c r="F85" s="20">
        <f>D85*E85</f>
        <v>32560</v>
      </c>
      <c r="G85" s="21">
        <f>F85*1.19</f>
        <v>38746.4</v>
      </c>
      <c r="I85" s="127"/>
      <c r="J85" s="127"/>
      <c r="K85" s="129"/>
    </row>
    <row r="86" spans="1:11" s="43" customFormat="1" ht="14.25">
      <c r="A86" s="44"/>
      <c r="B86" s="45" t="s">
        <v>43</v>
      </c>
      <c r="C86" s="17" t="s">
        <v>25</v>
      </c>
      <c r="D86" s="41">
        <v>2</v>
      </c>
      <c r="E86" s="42">
        <f>3755</f>
        <v>3755</v>
      </c>
      <c r="F86" s="20">
        <f>D86*E86</f>
        <v>7510</v>
      </c>
      <c r="G86" s="21">
        <f t="shared" si="2"/>
        <v>8936.9</v>
      </c>
      <c r="I86" s="127"/>
      <c r="J86" s="127"/>
      <c r="K86" s="129"/>
    </row>
    <row r="87" spans="1:11" s="43" customFormat="1" ht="15" thickBot="1">
      <c r="A87" s="44"/>
      <c r="B87" s="109" t="s">
        <v>102</v>
      </c>
      <c r="C87" s="17" t="s">
        <v>25</v>
      </c>
      <c r="D87" s="41">
        <v>14</v>
      </c>
      <c r="E87" s="42">
        <f>1515</f>
        <v>1515</v>
      </c>
      <c r="F87" s="20">
        <f>D87*E87</f>
        <v>21210</v>
      </c>
      <c r="G87" s="21">
        <f t="shared" si="2"/>
        <v>25239.899999999998</v>
      </c>
      <c r="I87" s="127"/>
      <c r="J87" s="127"/>
      <c r="K87" s="129"/>
    </row>
    <row r="88" spans="1:7" ht="13.5" thickBot="1">
      <c r="A88" s="27" t="s">
        <v>12</v>
      </c>
      <c r="B88" s="54"/>
      <c r="C88" s="29"/>
      <c r="D88" s="30"/>
      <c r="E88" s="31"/>
      <c r="F88" s="31">
        <f>SUM(F12:F87)</f>
        <v>2564446</v>
      </c>
      <c r="G88" s="31">
        <f>SUM(G12:G87)</f>
        <v>3051690.74</v>
      </c>
    </row>
    <row r="89" spans="1:7" ht="13.5" customHeight="1">
      <c r="A89" s="15" t="s">
        <v>13</v>
      </c>
      <c r="B89" s="110" t="s">
        <v>112</v>
      </c>
      <c r="C89" s="130" t="s">
        <v>27</v>
      </c>
      <c r="D89" s="111">
        <v>120</v>
      </c>
      <c r="E89" s="112">
        <f>430</f>
        <v>430</v>
      </c>
      <c r="F89" s="113">
        <f aca="true" t="shared" si="6" ref="F89:F94">D89*E89</f>
        <v>51600</v>
      </c>
      <c r="G89" s="113">
        <f t="shared" si="2"/>
        <v>61404</v>
      </c>
    </row>
    <row r="90" spans="1:7" ht="13.5" customHeight="1">
      <c r="A90" s="15"/>
      <c r="B90" s="114" t="s">
        <v>114</v>
      </c>
      <c r="C90" s="130" t="s">
        <v>27</v>
      </c>
      <c r="D90" s="111">
        <f>8*10</f>
        <v>80</v>
      </c>
      <c r="E90" s="112">
        <f>450</f>
        <v>450</v>
      </c>
      <c r="F90" s="113">
        <f t="shared" si="6"/>
        <v>36000</v>
      </c>
      <c r="G90" s="116">
        <f t="shared" si="2"/>
        <v>42840</v>
      </c>
    </row>
    <row r="91" spans="1:7" ht="13.5" customHeight="1">
      <c r="A91" s="15"/>
      <c r="B91" s="114" t="s">
        <v>110</v>
      </c>
      <c r="C91" s="130" t="s">
        <v>27</v>
      </c>
      <c r="D91" s="115">
        <v>144</v>
      </c>
      <c r="E91" s="112">
        <f>350</f>
        <v>350</v>
      </c>
      <c r="F91" s="113">
        <f t="shared" si="6"/>
        <v>50400</v>
      </c>
      <c r="G91" s="116">
        <f t="shared" si="2"/>
        <v>59976</v>
      </c>
    </row>
    <row r="92" spans="1:7" ht="13.5" customHeight="1">
      <c r="A92" s="15"/>
      <c r="B92" s="114" t="s">
        <v>111</v>
      </c>
      <c r="C92" s="130" t="s">
        <v>27</v>
      </c>
      <c r="D92" s="115">
        <v>216</v>
      </c>
      <c r="E92" s="112">
        <f>400</f>
        <v>400</v>
      </c>
      <c r="F92" s="113">
        <f t="shared" si="6"/>
        <v>86400</v>
      </c>
      <c r="G92" s="116">
        <f t="shared" si="2"/>
        <v>102816</v>
      </c>
    </row>
    <row r="93" spans="1:7" ht="14.25">
      <c r="A93" s="15"/>
      <c r="B93" s="114" t="s">
        <v>113</v>
      </c>
      <c r="C93" s="130" t="s">
        <v>27</v>
      </c>
      <c r="D93" s="111">
        <v>250</v>
      </c>
      <c r="E93" s="112">
        <f>430</f>
        <v>430</v>
      </c>
      <c r="F93" s="113">
        <f t="shared" si="6"/>
        <v>107500</v>
      </c>
      <c r="G93" s="116">
        <f t="shared" si="2"/>
        <v>127925</v>
      </c>
    </row>
    <row r="94" spans="1:7" ht="13.5" customHeight="1" thickBot="1">
      <c r="A94" s="15"/>
      <c r="B94" s="58" t="s">
        <v>50</v>
      </c>
      <c r="C94" s="23" t="s">
        <v>27</v>
      </c>
      <c r="D94" s="24">
        <v>16.6666666666666</v>
      </c>
      <c r="E94" s="25">
        <f>600</f>
        <v>600</v>
      </c>
      <c r="F94" s="26">
        <f t="shared" si="6"/>
        <v>9999.99999999996</v>
      </c>
      <c r="G94" s="26">
        <f t="shared" si="2"/>
        <v>11899.999999999953</v>
      </c>
    </row>
    <row r="95" spans="1:7" ht="13.5" thickBot="1">
      <c r="A95" s="27" t="s">
        <v>14</v>
      </c>
      <c r="B95" s="59"/>
      <c r="C95" s="60"/>
      <c r="D95" s="61"/>
      <c r="E95" s="31"/>
      <c r="F95" s="62">
        <f>SUM(F89:F94)</f>
        <v>341899.99999999994</v>
      </c>
      <c r="G95" s="62">
        <f>SUM(G89:G94)</f>
        <v>406860.99999999994</v>
      </c>
    </row>
    <row r="96" spans="1:7" ht="12.75">
      <c r="A96" s="63" t="s">
        <v>15</v>
      </c>
      <c r="B96" s="55"/>
      <c r="C96" s="64"/>
      <c r="D96" s="56"/>
      <c r="E96" s="65"/>
      <c r="F96" s="57"/>
      <c r="G96" s="65"/>
    </row>
    <row r="97" spans="1:7" ht="13.5" customHeight="1">
      <c r="A97" s="15"/>
      <c r="B97" s="58" t="s">
        <v>36</v>
      </c>
      <c r="C97" s="23" t="s">
        <v>34</v>
      </c>
      <c r="D97" s="24">
        <v>150</v>
      </c>
      <c r="E97" s="25">
        <f>200</f>
        <v>200</v>
      </c>
      <c r="F97" s="26">
        <f>D97*E97</f>
        <v>30000</v>
      </c>
      <c r="G97" s="26">
        <f>F97*1.19</f>
        <v>35700</v>
      </c>
    </row>
    <row r="98" spans="1:7" ht="13.5" customHeight="1" thickBot="1">
      <c r="A98" s="15"/>
      <c r="B98" s="58" t="s">
        <v>35</v>
      </c>
      <c r="C98" s="23" t="s">
        <v>27</v>
      </c>
      <c r="D98" s="24">
        <v>150</v>
      </c>
      <c r="E98" s="25">
        <f>600</f>
        <v>600</v>
      </c>
      <c r="F98" s="26">
        <f>D98*E98</f>
        <v>90000</v>
      </c>
      <c r="G98" s="26">
        <f>F98*1.19</f>
        <v>107100</v>
      </c>
    </row>
    <row r="99" spans="1:7" ht="13.5" thickBot="1">
      <c r="A99" s="27" t="s">
        <v>16</v>
      </c>
      <c r="B99" s="28"/>
      <c r="C99" s="60"/>
      <c r="D99" s="61"/>
      <c r="E99" s="31"/>
      <c r="F99" s="62">
        <f>SUM(F96:F98)</f>
        <v>120000</v>
      </c>
      <c r="G99" s="62">
        <f>SUM(G96:G98)</f>
        <v>142800</v>
      </c>
    </row>
    <row r="100" spans="1:7" ht="14.25">
      <c r="A100" s="8" t="s">
        <v>17</v>
      </c>
      <c r="B100" s="117" t="s">
        <v>45</v>
      </c>
      <c r="C100" s="118" t="s">
        <v>25</v>
      </c>
      <c r="D100" s="119">
        <v>1</v>
      </c>
      <c r="E100" s="120">
        <f>10000</f>
        <v>10000</v>
      </c>
      <c r="F100" s="20">
        <f>D100*E100</f>
        <v>10000</v>
      </c>
      <c r="G100" s="20">
        <f aca="true" t="shared" si="7" ref="G100:G108">F100*1.19</f>
        <v>11900</v>
      </c>
    </row>
    <row r="101" spans="1:7" ht="14.25">
      <c r="A101" s="15"/>
      <c r="B101" s="16" t="s">
        <v>59</v>
      </c>
      <c r="C101" s="17" t="s">
        <v>25</v>
      </c>
      <c r="D101" s="18">
        <v>1</v>
      </c>
      <c r="E101" s="19">
        <f>8000</f>
        <v>8000</v>
      </c>
      <c r="F101" s="20">
        <f aca="true" t="shared" si="8" ref="F101:F106">D101*E101</f>
        <v>8000</v>
      </c>
      <c r="G101" s="20">
        <f t="shared" si="7"/>
        <v>9520</v>
      </c>
    </row>
    <row r="102" spans="1:7" ht="14.25">
      <c r="A102" s="15"/>
      <c r="B102" s="16" t="s">
        <v>58</v>
      </c>
      <c r="C102" s="17" t="s">
        <v>25</v>
      </c>
      <c r="D102" s="18">
        <v>500</v>
      </c>
      <c r="E102" s="19">
        <f>40</f>
        <v>40</v>
      </c>
      <c r="F102" s="20">
        <f t="shared" si="8"/>
        <v>20000</v>
      </c>
      <c r="G102" s="20">
        <f t="shared" si="7"/>
        <v>23800</v>
      </c>
    </row>
    <row r="103" spans="1:7" ht="14.25">
      <c r="A103" s="15"/>
      <c r="B103" s="58" t="s">
        <v>47</v>
      </c>
      <c r="C103" s="23" t="s">
        <v>25</v>
      </c>
      <c r="D103" s="24">
        <v>250</v>
      </c>
      <c r="E103" s="25">
        <f>7</f>
        <v>7</v>
      </c>
      <c r="F103" s="26">
        <f t="shared" si="8"/>
        <v>1750</v>
      </c>
      <c r="G103" s="26">
        <f t="shared" si="7"/>
        <v>2082.5</v>
      </c>
    </row>
    <row r="104" spans="1:7" ht="14.25">
      <c r="A104" s="15"/>
      <c r="B104" s="58" t="s">
        <v>48</v>
      </c>
      <c r="C104" s="23" t="s">
        <v>25</v>
      </c>
      <c r="D104" s="24">
        <v>500</v>
      </c>
      <c r="E104" s="25">
        <f>3</f>
        <v>3</v>
      </c>
      <c r="F104" s="26">
        <f t="shared" si="8"/>
        <v>1500</v>
      </c>
      <c r="G104" s="26">
        <f t="shared" si="7"/>
        <v>1785</v>
      </c>
    </row>
    <row r="105" spans="1:7" ht="14.25">
      <c r="A105" s="15"/>
      <c r="B105" s="58" t="s">
        <v>46</v>
      </c>
      <c r="C105" s="23" t="s">
        <v>27</v>
      </c>
      <c r="D105" s="24">
        <v>5</v>
      </c>
      <c r="E105" s="25">
        <f>400</f>
        <v>400</v>
      </c>
      <c r="F105" s="26">
        <f t="shared" si="8"/>
        <v>2000</v>
      </c>
      <c r="G105" s="26">
        <f t="shared" si="7"/>
        <v>2380</v>
      </c>
    </row>
    <row r="106" spans="1:7" ht="15" thickBot="1">
      <c r="A106" s="67"/>
      <c r="B106" s="121" t="s">
        <v>60</v>
      </c>
      <c r="C106" s="68" t="s">
        <v>49</v>
      </c>
      <c r="D106" s="69">
        <v>1</v>
      </c>
      <c r="E106" s="70">
        <f>6700</f>
        <v>6700</v>
      </c>
      <c r="F106" s="66">
        <f t="shared" si="8"/>
        <v>6700</v>
      </c>
      <c r="G106" s="66">
        <f t="shared" si="7"/>
        <v>7973</v>
      </c>
    </row>
    <row r="107" spans="1:7" ht="13.5" thickBot="1">
      <c r="A107" s="71" t="s">
        <v>18</v>
      </c>
      <c r="B107" s="72"/>
      <c r="C107" s="73"/>
      <c r="D107" s="74"/>
      <c r="E107" s="75"/>
      <c r="F107" s="76">
        <f>SUM(F100:F106)</f>
        <v>49950</v>
      </c>
      <c r="G107" s="76">
        <f>SUM(G100:G106)</f>
        <v>59440.5</v>
      </c>
    </row>
    <row r="108" spans="1:7" ht="15" thickBot="1">
      <c r="A108" s="77" t="s">
        <v>19</v>
      </c>
      <c r="B108" s="122"/>
      <c r="C108" s="123" t="s">
        <v>116</v>
      </c>
      <c r="D108" s="124">
        <v>0</v>
      </c>
      <c r="E108" s="125">
        <f>0</f>
        <v>0</v>
      </c>
      <c r="F108" s="26">
        <f>D108*E108</f>
        <v>0</v>
      </c>
      <c r="G108" s="26">
        <f t="shared" si="7"/>
        <v>0</v>
      </c>
    </row>
    <row r="109" spans="1:7" ht="13.5" thickBot="1">
      <c r="A109" s="78" t="s">
        <v>20</v>
      </c>
      <c r="B109" s="79"/>
      <c r="C109" s="73"/>
      <c r="D109" s="74"/>
      <c r="E109" s="80"/>
      <c r="F109" s="76">
        <f>SUM(F108)</f>
        <v>0</v>
      </c>
      <c r="G109" s="76">
        <f>SUM(G108)</f>
        <v>0</v>
      </c>
    </row>
    <row r="110" spans="1:7" ht="16.5" thickBot="1">
      <c r="A110" s="81" t="s">
        <v>21</v>
      </c>
      <c r="B110" s="82"/>
      <c r="C110" s="83"/>
      <c r="D110" s="84"/>
      <c r="E110" s="85"/>
      <c r="F110" s="86"/>
      <c r="G110" s="86">
        <f>G109+G107+G99+G95+G88+G11</f>
        <v>9137603.02</v>
      </c>
    </row>
    <row r="111" spans="1:7" ht="13.5" thickBot="1">
      <c r="A111" s="87" t="s">
        <v>22</v>
      </c>
      <c r="B111" s="88"/>
      <c r="C111" s="89"/>
      <c r="D111" s="90"/>
      <c r="E111" s="91"/>
      <c r="F111" s="91"/>
      <c r="G111" s="92"/>
    </row>
    <row r="112" spans="1:7" ht="13.5" thickBot="1">
      <c r="A112" s="93" t="s">
        <v>23</v>
      </c>
      <c r="B112" s="94"/>
      <c r="C112" s="95"/>
      <c r="D112" s="96"/>
      <c r="E112" s="97"/>
      <c r="F112" s="97"/>
      <c r="G112" s="98"/>
    </row>
    <row r="113" spans="1:7" ht="13.5" thickBot="1">
      <c r="A113" s="99" t="s">
        <v>24</v>
      </c>
      <c r="B113" s="100"/>
      <c r="C113" s="101"/>
      <c r="D113" s="102"/>
      <c r="E113" s="103"/>
      <c r="F113" s="103"/>
      <c r="G113" s="104"/>
    </row>
  </sheetData>
  <sheetProtection/>
  <mergeCells count="3">
    <mergeCell ref="B2:G2"/>
    <mergeCell ref="B1:E1"/>
    <mergeCell ref="F1:G1"/>
  </mergeCells>
  <printOptions horizontalCentered="1"/>
  <pageMargins left="0.7086614173228347" right="0.31496062992125984" top="0.27" bottom="0.18" header="0.2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Pruška</dc:creator>
  <cp:keywords/>
  <dc:description/>
  <cp:lastModifiedBy>PC-PRACOVNA</cp:lastModifiedBy>
  <cp:lastPrinted>2008-09-12T12:32:54Z</cp:lastPrinted>
  <dcterms:created xsi:type="dcterms:W3CDTF">2008-02-08T15:33:31Z</dcterms:created>
  <dcterms:modified xsi:type="dcterms:W3CDTF">2010-04-13T18:14:36Z</dcterms:modified>
  <cp:category/>
  <cp:version/>
  <cp:contentType/>
  <cp:contentStatus/>
</cp:coreProperties>
</file>